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780" windowWidth="9720" windowHeight="6045" tabRatio="764" activeTab="0"/>
  </bookViews>
  <sheets>
    <sheet name="Normal Mensal" sheetId="1" r:id="rId1"/>
    <sheet name="Normal Decendial" sheetId="2" r:id="rId2"/>
    <sheet name="Sequencial" sheetId="3" r:id="rId3"/>
    <sheet name="Cultura &amp; Prod. Real" sheetId="4" r:id="rId4"/>
    <sheet name="Prod. Potencial" sheetId="5" r:id="rId5"/>
    <sheet name="Ajuda" sheetId="6" r:id="rId6"/>
  </sheets>
  <externalReferences>
    <externalReference r:id="rId9"/>
  </externalReferences>
  <definedNames>
    <definedName name="cad1">'[1]BHN Decendial'!$CG$13</definedName>
    <definedName name="cadm">'Normal Mensal'!$CD$12</definedName>
    <definedName name="HTML_CodePage" hidden="1">1252</definedName>
    <definedName name="HTML_Control" hidden="1">{"'BHN Mensal'!$A$8:$D$8"}</definedName>
    <definedName name="HTML_Description" hidden="1">""</definedName>
    <definedName name="HTML_Email" hidden="1">""</definedName>
    <definedName name="HTML_Header" hidden="1">"BHN Mensal"</definedName>
    <definedName name="HTML_LastUpdate" hidden="1">"26/12/97"</definedName>
    <definedName name="HTML_LineAfter" hidden="1">FALSE</definedName>
    <definedName name="HTML_LineBefore" hidden="1">FALSE</definedName>
    <definedName name="HTML_Name" hidden="1">"Fisica"</definedName>
    <definedName name="HTML_OBDlg2" hidden="1">TRUE</definedName>
    <definedName name="HTML_OBDlg4" hidden="1">TRUE</definedName>
    <definedName name="HTML_OS" hidden="1">0</definedName>
    <definedName name="HTML_PathFile" hidden="1">"C:\GlaucoR\MyHTML.htm"</definedName>
    <definedName name="HTML_Title" hidden="1">"BHnorm"</definedName>
  </definedNames>
  <calcPr fullCalcOnLoad="1"/>
</workbook>
</file>

<file path=xl/sharedStrings.xml><?xml version="1.0" encoding="utf-8"?>
<sst xmlns="http://schemas.openxmlformats.org/spreadsheetml/2006/main" count="898" uniqueCount="233">
  <si>
    <t>Balanço Hídrico Normal por Thornthwaite &amp; Mather (1955)</t>
  </si>
  <si>
    <t xml:space="preserve"> Adaptado para uso exclusivo</t>
  </si>
  <si>
    <t>nas aulas do Departamento de</t>
  </si>
  <si>
    <t xml:space="preserve">              Ciências Exatas</t>
  </si>
  <si>
    <t>Departamento de Ciências Exatas</t>
  </si>
  <si>
    <t xml:space="preserve">   Área de Física e Meteorologia</t>
  </si>
  <si>
    <t xml:space="preserve">              DCE - ESALQ / USP</t>
  </si>
  <si>
    <t>STATUS</t>
  </si>
  <si>
    <t>ð</t>
  </si>
  <si>
    <t xml:space="preserve">     DCE - ESALQ / USP</t>
  </si>
  <si>
    <t>BHaula v.3 1999</t>
  </si>
  <si>
    <t>CIDADE</t>
  </si>
  <si>
    <t>Piracicaba - SP</t>
  </si>
  <si>
    <t>LATITUDE</t>
  </si>
  <si>
    <t>CAD</t>
  </si>
  <si>
    <t>ANO</t>
  </si>
  <si>
    <t>1961-90</t>
  </si>
  <si>
    <t>BHnorm V5.0 1999</t>
  </si>
  <si>
    <t xml:space="preserve"> </t>
  </si>
  <si>
    <t>Comentários :</t>
  </si>
  <si>
    <t>NDA inicial</t>
  </si>
  <si>
    <t>LÓGICA</t>
  </si>
  <si>
    <t>è</t>
  </si>
  <si>
    <t>ENTRADA DOS DADOS</t>
  </si>
  <si>
    <t>Área reservada para novas fórmulas</t>
  </si>
  <si>
    <t>Decêndios</t>
  </si>
  <si>
    <t>Num</t>
  </si>
  <si>
    <t>NDA</t>
  </si>
  <si>
    <t>T</t>
  </si>
  <si>
    <t>P</t>
  </si>
  <si>
    <t>N</t>
  </si>
  <si>
    <t>I</t>
  </si>
  <si>
    <t>ETP</t>
  </si>
  <si>
    <t>P-ETP</t>
  </si>
  <si>
    <t>Status=1</t>
  </si>
  <si>
    <t>Status=2</t>
  </si>
  <si>
    <t xml:space="preserve">INÍCIO </t>
  </si>
  <si>
    <t>NEG-AC</t>
  </si>
  <si>
    <t>ARM</t>
  </si>
  <si>
    <t>ALT</t>
  </si>
  <si>
    <t>ETR</t>
  </si>
  <si>
    <t>DEF</t>
  </si>
  <si>
    <t>EXC</t>
  </si>
  <si>
    <t>Control</t>
  </si>
  <si>
    <t>inicio</t>
  </si>
  <si>
    <t>de</t>
  </si>
  <si>
    <t>oC</t>
  </si>
  <si>
    <t>mm</t>
  </si>
  <si>
    <t>horas</t>
  </si>
  <si>
    <t>Thornthwaite</t>
  </si>
  <si>
    <t>Cáculo do Fotoperíodo</t>
  </si>
  <si>
    <r>
      <t>S</t>
    </r>
    <r>
      <rPr>
        <b/>
        <sz val="11"/>
        <color indexed="32"/>
        <rFont val="Arial"/>
        <family val="2"/>
      </rPr>
      <t xml:space="preserve"> P-ETP</t>
    </r>
  </si>
  <si>
    <t>Logico</t>
  </si>
  <si>
    <t>dias</t>
  </si>
  <si>
    <t>d</t>
  </si>
  <si>
    <t>hn</t>
  </si>
  <si>
    <t>+</t>
  </si>
  <si>
    <t>-</t>
  </si>
  <si>
    <t>Jan</t>
  </si>
  <si>
    <t>Fev</t>
  </si>
  <si>
    <t>I =</t>
  </si>
  <si>
    <t>Mar</t>
  </si>
  <si>
    <t>a =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</si>
  <si>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</si>
  <si>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</si>
  <si>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</si>
  <si>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</si>
  <si>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</si>
  <si>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</si>
  <si>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</si>
  <si>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</si>
  <si>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</si>
  <si>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n</t>
  </si>
  <si>
    <t>p</t>
  </si>
  <si>
    <t>RESULTADOS</t>
  </si>
  <si>
    <r>
      <t>1-e</t>
    </r>
    <r>
      <rPr>
        <b/>
        <vertAlign val="superscript"/>
        <sz val="12"/>
        <rFont val="Arial"/>
        <family val="2"/>
      </rPr>
      <t>n</t>
    </r>
  </si>
  <si>
    <t>Neg Acum ini</t>
  </si>
  <si>
    <t>TOTAIS</t>
  </si>
  <si>
    <t>MÉDIAS</t>
  </si>
  <si>
    <t>Gráfico</t>
  </si>
  <si>
    <t>MÊS</t>
  </si>
  <si>
    <t>DEF(-1)</t>
  </si>
  <si>
    <t>comb</t>
  </si>
  <si>
    <t>Prec</t>
  </si>
  <si>
    <t>(mm)</t>
  </si>
  <si>
    <t>RET</t>
  </si>
  <si>
    <t>REP</t>
  </si>
  <si>
    <t>BHaula v.2 1999</t>
  </si>
  <si>
    <t xml:space="preserve">             DCE - ESALQ / USP</t>
  </si>
  <si>
    <t>Piracicaba</t>
  </si>
  <si>
    <t>Essas Células fazem parte da lógica do programa.</t>
  </si>
  <si>
    <t>S P-ETP</t>
  </si>
  <si>
    <t>J1</t>
  </si>
  <si>
    <t>J2</t>
  </si>
  <si>
    <t>J3</t>
  </si>
  <si>
    <t>F1</t>
  </si>
  <si>
    <t>F2</t>
  </si>
  <si>
    <t>F3</t>
  </si>
  <si>
    <t>M1</t>
  </si>
  <si>
    <t>M2</t>
  </si>
  <si>
    <t>M3</t>
  </si>
  <si>
    <t>A1</t>
  </si>
  <si>
    <t>A2</t>
  </si>
  <si>
    <t>A3</t>
  </si>
  <si>
    <t>S1</t>
  </si>
  <si>
    <t>S2</t>
  </si>
  <si>
    <t>S3</t>
  </si>
  <si>
    <t>O1</t>
  </si>
  <si>
    <t>O2</t>
  </si>
  <si>
    <t>O3</t>
  </si>
  <si>
    <t>N1</t>
  </si>
  <si>
    <t>N2</t>
  </si>
  <si>
    <t>N3</t>
  </si>
  <si>
    <t>D1</t>
  </si>
  <si>
    <t>D2</t>
  </si>
  <si>
    <t>D3</t>
  </si>
  <si>
    <t xml:space="preserve">  </t>
  </si>
  <si>
    <t xml:space="preserve"> 1-en</t>
  </si>
  <si>
    <t>neg ac</t>
  </si>
  <si>
    <t>Período</t>
  </si>
  <si>
    <t>BHseq V3.0 1998</t>
  </si>
  <si>
    <t>Balanço Hídrico Sequencial por Thornthwaite &amp; Mather (1955)</t>
  </si>
  <si>
    <t>Glauco de Souza Rolim</t>
  </si>
  <si>
    <t>Paulo Cesar Sentelhas</t>
  </si>
  <si>
    <t xml:space="preserve">            Ciências Exatas</t>
  </si>
  <si>
    <t>Essas células fazem parte da lógica do programa, não modifique-as de forma alguma</t>
  </si>
  <si>
    <t xml:space="preserve">            Departamento de Ciências Exatas</t>
  </si>
  <si>
    <t xml:space="preserve">           DCE - ESALQ / USP</t>
  </si>
  <si>
    <t xml:space="preserve">Piracicaba -SP            </t>
  </si>
  <si>
    <t>I=</t>
  </si>
  <si>
    <t>I384</t>
  </si>
  <si>
    <r>
      <t>Se não for utilizar esse parâmetro digitar "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" </t>
    </r>
    <r>
      <rPr>
        <b/>
        <sz val="11"/>
        <rFont val="Arial"/>
        <family val="2"/>
      </rPr>
      <t>( Igual )</t>
    </r>
  </si>
  <si>
    <t>a=</t>
  </si>
  <si>
    <r>
      <t xml:space="preserve">Arm do período anterior </t>
    </r>
    <r>
      <rPr>
        <b/>
        <sz val="11"/>
        <color indexed="8"/>
        <rFont val="Wingdings"/>
        <family val="0"/>
      </rPr>
      <t xml:space="preserve">  ð</t>
    </r>
  </si>
  <si>
    <t>=</t>
  </si>
  <si>
    <t xml:space="preserve">   Neg-Acum do período anterior</t>
  </si>
  <si>
    <t>Tempo</t>
  </si>
  <si>
    <t>Num de</t>
  </si>
  <si>
    <t>Cálculo do Fotoperíodo</t>
  </si>
  <si>
    <t xml:space="preserve">             Controle lógico</t>
  </si>
  <si>
    <t>co1</t>
  </si>
  <si>
    <t>vlr</t>
  </si>
  <si>
    <r>
      <t>S</t>
    </r>
    <r>
      <rPr>
        <sz val="9"/>
        <color indexed="8"/>
        <rFont val="Arial"/>
        <family val="2"/>
      </rPr>
      <t>P-ETP</t>
    </r>
  </si>
  <si>
    <t>DECENDIOS</t>
  </si>
  <si>
    <t>Dias</t>
  </si>
  <si>
    <r>
      <t>o</t>
    </r>
    <r>
      <rPr>
        <b/>
        <sz val="9"/>
        <color indexed="10"/>
        <rFont val="Arial"/>
        <family val="2"/>
      </rPr>
      <t>C</t>
    </r>
  </si>
  <si>
    <t>Thornthwaite1948</t>
  </si>
  <si>
    <t>DECÊNDIOS</t>
  </si>
  <si>
    <t>ini</t>
  </si>
  <si>
    <t>ncom</t>
  </si>
  <si>
    <t>com</t>
  </si>
  <si>
    <t>Balanço Hídrico de Cultura e Produtividade Real</t>
  </si>
  <si>
    <t>Luis Roberto Angelocci</t>
  </si>
  <si>
    <t xml:space="preserve"> Departamento de Ciências Exatas</t>
  </si>
  <si>
    <t>OBS</t>
  </si>
  <si>
    <t>O período que não possuir cultura</t>
  </si>
  <si>
    <r>
      <t>digitar 1 na coluna do</t>
    </r>
    <r>
      <rPr>
        <b/>
        <sz val="11"/>
        <rFont val="Arial"/>
        <family val="2"/>
      </rPr>
      <t xml:space="preserve"> kc </t>
    </r>
    <r>
      <rPr>
        <sz val="10"/>
        <rFont val="Arial"/>
        <family val="2"/>
      </rPr>
      <t xml:space="preserve">e do </t>
    </r>
    <r>
      <rPr>
        <b/>
        <sz val="11"/>
        <rFont val="Arial"/>
        <family val="2"/>
      </rPr>
      <t xml:space="preserve"> ky</t>
    </r>
  </si>
  <si>
    <t>Produtividade Real (PR)</t>
  </si>
  <si>
    <t>Quebra de Produtividade</t>
  </si>
  <si>
    <t>Produtividade Potencial (PP)</t>
  </si>
  <si>
    <t>kg.MS/ha</t>
  </si>
  <si>
    <t>kg / ha</t>
  </si>
  <si>
    <t>%</t>
  </si>
  <si>
    <t>Balanço Hídrico de Cultura</t>
  </si>
  <si>
    <t>Kc</t>
  </si>
  <si>
    <t>ky</t>
  </si>
  <si>
    <t>ETc</t>
  </si>
  <si>
    <t>P-ETc</t>
  </si>
  <si>
    <t>ETR/ETc</t>
  </si>
  <si>
    <t>Prod. Real</t>
  </si>
  <si>
    <t>kg/ha</t>
  </si>
  <si>
    <t>ETC</t>
  </si>
  <si>
    <t>Produtividade Real</t>
  </si>
  <si>
    <r>
      <t>Produtividade Potencial -</t>
    </r>
    <r>
      <rPr>
        <b/>
        <i/>
        <sz val="12"/>
        <color indexed="52"/>
        <rFont val="Arial"/>
        <family val="2"/>
      </rPr>
      <t xml:space="preserve"> Método da Zona Agroecológica</t>
    </r>
  </si>
  <si>
    <t xml:space="preserve">                     Glauco de Souza Rolim</t>
  </si>
  <si>
    <t xml:space="preserve">                     Paulo Cesar Sentelhas</t>
  </si>
  <si>
    <t xml:space="preserve">                     Luis Roberto Angelocci</t>
  </si>
  <si>
    <t>Coeficientes</t>
  </si>
  <si>
    <t>Piracicaba -SP</t>
  </si>
  <si>
    <r>
      <t>digitar ZERO na coluna do</t>
    </r>
    <r>
      <rPr>
        <b/>
        <sz val="11"/>
        <rFont val="Arial"/>
        <family val="2"/>
      </rPr>
      <t xml:space="preserve"> IAF</t>
    </r>
  </si>
  <si>
    <t>b =</t>
  </si>
  <si>
    <t>CULTURA</t>
  </si>
  <si>
    <t>Milho</t>
  </si>
  <si>
    <t>Índice de Colheita</t>
  </si>
  <si>
    <t>Grupo da Cultura (1,2,3)</t>
  </si>
  <si>
    <t>Teor de Umidade</t>
  </si>
  <si>
    <t xml:space="preserve">Produtividade Potencial </t>
  </si>
  <si>
    <t>Matéria Seca (PP)</t>
  </si>
  <si>
    <t>kg MS/ ha</t>
  </si>
  <si>
    <t>Matéria Fresca (PPf)</t>
  </si>
  <si>
    <t>Temperatura</t>
  </si>
  <si>
    <t>IAF</t>
  </si>
  <si>
    <t>Fbn</t>
  </si>
  <si>
    <t>Fbc</t>
  </si>
  <si>
    <t>cTn</t>
  </si>
  <si>
    <t>cTc</t>
  </si>
  <si>
    <t>Qg</t>
  </si>
  <si>
    <t>F</t>
  </si>
  <si>
    <r>
      <t>C</t>
    </r>
    <r>
      <rPr>
        <b/>
        <vertAlign val="subscript"/>
        <sz val="12"/>
        <color indexed="32"/>
        <rFont val="Arial"/>
        <family val="2"/>
      </rPr>
      <t>IAF</t>
    </r>
  </si>
  <si>
    <r>
      <t>C</t>
    </r>
    <r>
      <rPr>
        <b/>
        <vertAlign val="subscript"/>
        <sz val="12"/>
        <color indexed="32"/>
        <rFont val="Arial"/>
        <family val="2"/>
      </rPr>
      <t>R</t>
    </r>
  </si>
  <si>
    <t>PP</t>
  </si>
  <si>
    <t>Qo</t>
  </si>
  <si>
    <t>G1</t>
  </si>
  <si>
    <t>G2</t>
  </si>
  <si>
    <t>G3</t>
  </si>
  <si>
    <t>Cáculo de Qo</t>
  </si>
  <si>
    <t>ºC</t>
  </si>
  <si>
    <t>Horas</t>
  </si>
  <si>
    <r>
      <t>kg.ha</t>
    </r>
    <r>
      <rPr>
        <vertAlign val="superscript"/>
        <sz val="10"/>
        <color indexed="32"/>
        <rFont val="Arial"/>
        <family val="2"/>
      </rPr>
      <t>-1</t>
    </r>
    <r>
      <rPr>
        <sz val="10"/>
        <color indexed="32"/>
        <rFont val="Arial"/>
        <family val="2"/>
      </rPr>
      <t>.dia</t>
    </r>
    <r>
      <rPr>
        <vertAlign val="superscript"/>
        <sz val="10"/>
        <color indexed="32"/>
        <rFont val="Arial"/>
        <family val="2"/>
      </rPr>
      <t>-1</t>
    </r>
  </si>
  <si>
    <r>
      <t>kg.ha</t>
    </r>
    <r>
      <rPr>
        <vertAlign val="superscript"/>
        <sz val="10"/>
        <color indexed="32"/>
        <rFont val="Arial"/>
        <family val="2"/>
      </rPr>
      <t>-1</t>
    </r>
    <r>
      <rPr>
        <sz val="10"/>
        <color indexed="32"/>
        <rFont val="Arial"/>
        <family val="2"/>
      </rPr>
      <t>.dia</t>
    </r>
    <r>
      <rPr>
        <vertAlign val="superscript"/>
        <sz val="10"/>
        <color indexed="32"/>
        <rFont val="Arial"/>
        <family val="2"/>
      </rPr>
      <t>-2</t>
    </r>
  </si>
  <si>
    <r>
      <t>cal.cm</t>
    </r>
    <r>
      <rPr>
        <vertAlign val="superscript"/>
        <sz val="10"/>
        <color indexed="32"/>
        <rFont val="Arial"/>
        <family val="2"/>
      </rPr>
      <t>-2</t>
    </r>
    <r>
      <rPr>
        <sz val="10"/>
        <color indexed="32"/>
        <rFont val="Arial"/>
        <family val="2"/>
      </rPr>
      <t>.dia</t>
    </r>
    <r>
      <rPr>
        <vertAlign val="superscript"/>
        <sz val="10"/>
        <color indexed="32"/>
        <rFont val="Arial"/>
        <family val="2"/>
      </rPr>
      <t>-1</t>
    </r>
  </si>
  <si>
    <r>
      <t>kg MS.ha</t>
    </r>
    <r>
      <rPr>
        <vertAlign val="superscript"/>
        <sz val="10"/>
        <color indexed="32"/>
        <rFont val="Arial"/>
        <family val="2"/>
      </rPr>
      <t>-1</t>
    </r>
    <r>
      <rPr>
        <sz val="10"/>
        <color indexed="32"/>
        <rFont val="Arial"/>
        <family val="2"/>
      </rPr>
      <t>.período</t>
    </r>
    <r>
      <rPr>
        <vertAlign val="superscript"/>
        <sz val="10"/>
        <color indexed="32"/>
        <rFont val="Arial"/>
        <family val="2"/>
      </rPr>
      <t>-1</t>
    </r>
  </si>
  <si>
    <r>
      <t>cal/cm</t>
    </r>
    <r>
      <rPr>
        <vertAlign val="superscript"/>
        <sz val="8"/>
        <color indexed="32"/>
        <rFont val="Arial"/>
        <family val="2"/>
      </rPr>
      <t>2</t>
    </r>
    <r>
      <rPr>
        <sz val="8"/>
        <color indexed="32"/>
        <rFont val="Arial"/>
        <family val="2"/>
      </rPr>
      <t>.dia</t>
    </r>
  </si>
  <si>
    <t>cto</t>
  </si>
  <si>
    <t>ctc</t>
  </si>
  <si>
    <t>AJUDA</t>
  </si>
  <si>
    <r>
      <t>ENTRADA DE DADOS :</t>
    </r>
    <r>
      <rPr>
        <sz val="14"/>
        <rFont val="Arial"/>
        <family val="2"/>
      </rPr>
      <t xml:space="preserve"> As colunas em </t>
    </r>
    <r>
      <rPr>
        <sz val="14"/>
        <color indexed="10"/>
        <rFont val="Arial"/>
        <family val="2"/>
      </rPr>
      <t>vermelho</t>
    </r>
    <r>
      <rPr>
        <sz val="14"/>
        <rFont val="Arial"/>
        <family val="2"/>
      </rPr>
      <t xml:space="preserve"> deverão ser utilizadas para a entrada dos dados.</t>
    </r>
  </si>
  <si>
    <t>IMPRESSÃO :</t>
  </si>
  <si>
    <r>
      <t>TABELAS:</t>
    </r>
    <r>
      <rPr>
        <sz val="14"/>
        <rFont val="Arial"/>
        <family val="2"/>
      </rPr>
      <t xml:space="preserve"> Selecione as células normalmente, depois :</t>
    </r>
  </si>
  <si>
    <t>MENUS: Arquivo - Imprimir - Seleção - (OK  ou segue abaixo)</t>
  </si>
  <si>
    <t>Normalmente, para uma melhor impressão é interessante o ajuste para somente uma página:</t>
  </si>
  <si>
    <t>... - Visualizar Impressão - Configurar - Ajustar para 1 página - OK</t>
  </si>
  <si>
    <t xml:space="preserve">GRÁFICOS : </t>
  </si>
  <si>
    <t>Para a impressão de um único grafico em uma folha:</t>
  </si>
  <si>
    <t>Um clique no gráfico e siga o mesmo prcedimento para TABELAS.</t>
  </si>
  <si>
    <t>OU para a impressão de um ou mais gráficos,</t>
  </si>
  <si>
    <t>selecione as células da planilha incluindo o(s) grafico(s)</t>
  </si>
  <si>
    <t>e siga o mesmo procedimento para TABELAS.</t>
  </si>
  <si>
    <t>IMPORTAR P/ WORD, etc... :</t>
  </si>
  <si>
    <t>Selecionar como indicado acima e MENU: Editar - Copiar</t>
  </si>
  <si>
    <t>Depois MENU: Editar - Colar no outro aplicativo.</t>
  </si>
  <si>
    <t>Referência Bibliográfica:</t>
  </si>
  <si>
    <r>
      <t xml:space="preserve">ROLIM,G.S.,SENTELHAS,P.C.,BARBIERI, V.Planilhas no ambiente EXCEL </t>
    </r>
    <r>
      <rPr>
        <vertAlign val="superscript"/>
        <sz val="12"/>
        <rFont val="Arial"/>
        <family val="2"/>
      </rPr>
      <t>TM</t>
    </r>
    <r>
      <rPr>
        <sz val="12"/>
        <rFont val="Arial"/>
        <family val="2"/>
      </rPr>
      <t xml:space="preserve"> para os cálculos de balanços hídricos:normal,sequencial,de cultura e de produtividade real e potencial.</t>
    </r>
    <r>
      <rPr>
        <b/>
        <sz val="12"/>
        <rFont val="Arial"/>
        <family val="2"/>
      </rPr>
      <t>Revista Brasileira de Agrometeorologia</t>
    </r>
    <r>
      <rPr>
        <sz val="12"/>
        <rFont val="Arial"/>
        <family val="2"/>
      </rPr>
      <t>,Santa Maria,v. 6,n.1,p133-137,1998.</t>
    </r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</si>
</sst>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0.0"/>
    <numFmt numFmtId="191" formatCode="d/m/yy"/>
    <numFmt numFmtId="192" formatCode="0.0000"/>
    <numFmt numFmtId="193" formatCode="0.000"/>
    <numFmt numFmtId="194" formatCode="0.0%"/>
    <numFmt numFmtId="195" formatCode="0.000000"/>
    <numFmt numFmtId="196" formatCode="0.00000"/>
  </numFmts>
  <fonts count="136">
    <font>
      <sz val="10"/>
      <name val="Arial"/>
      <family val="0"/>
    </font>
    <font>
      <sz val="16"/>
      <name val="Arial"/>
      <family val="2"/>
    </font>
    <font>
      <b/>
      <i/>
      <sz val="16"/>
      <color indexed="32"/>
      <name val="Arial"/>
      <family val="2"/>
    </font>
    <font>
      <i/>
      <sz val="16"/>
      <color indexed="32"/>
      <name val="Arial"/>
      <family val="2"/>
    </font>
    <font>
      <i/>
      <sz val="16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11"/>
      <color indexed="16"/>
      <name val="Wingdings"/>
      <family val="0"/>
    </font>
    <font>
      <b/>
      <sz val="12"/>
      <color indexed="17"/>
      <name val="Arial"/>
      <family val="2"/>
    </font>
    <font>
      <b/>
      <sz val="10"/>
      <color indexed="32"/>
      <name val="Arial"/>
      <family val="2"/>
    </font>
    <font>
      <b/>
      <sz val="11"/>
      <color indexed="8"/>
      <name val="System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sz val="20"/>
      <name val="Wingdings"/>
      <family val="0"/>
    </font>
    <font>
      <sz val="18"/>
      <name val="Wingdings"/>
      <family val="0"/>
    </font>
    <font>
      <sz val="11"/>
      <name val="Arial"/>
      <family val="2"/>
    </font>
    <font>
      <b/>
      <sz val="11"/>
      <color indexed="32"/>
      <name val="Arial"/>
      <family val="2"/>
    </font>
    <font>
      <b/>
      <sz val="11"/>
      <color indexed="10"/>
      <name val="Arial"/>
      <family val="2"/>
    </font>
    <font>
      <sz val="11"/>
      <color indexed="43"/>
      <name val="Arial"/>
      <family val="2"/>
    </font>
    <font>
      <sz val="11"/>
      <color indexed="10"/>
      <name val="Arial"/>
      <family val="2"/>
    </font>
    <font>
      <b/>
      <sz val="11"/>
      <color indexed="32"/>
      <name val="Symbol"/>
      <family val="1"/>
    </font>
    <font>
      <sz val="10"/>
      <color indexed="10"/>
      <name val="Arial"/>
      <family val="2"/>
    </font>
    <font>
      <sz val="10"/>
      <color indexed="18"/>
      <name val="Wingdings"/>
      <family val="0"/>
    </font>
    <font>
      <b/>
      <sz val="10"/>
      <color indexed="8"/>
      <name val="Arial"/>
      <family val="2"/>
    </font>
    <font>
      <sz val="9"/>
      <color indexed="43"/>
      <name val="Arial"/>
      <family val="2"/>
    </font>
    <font>
      <b/>
      <sz val="10"/>
      <color indexed="4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18"/>
      <name val="Symbol"/>
      <family val="1"/>
    </font>
    <font>
      <b/>
      <u val="single"/>
      <sz val="12"/>
      <color indexed="10"/>
      <name val="Arial"/>
      <family val="2"/>
    </font>
    <font>
      <sz val="10"/>
      <color indexed="32"/>
      <name val="Arial"/>
      <family val="2"/>
    </font>
    <font>
      <sz val="10"/>
      <color indexed="29"/>
      <name val="Arial"/>
      <family val="2"/>
    </font>
    <font>
      <b/>
      <sz val="10"/>
      <color indexed="10"/>
      <name val="Wingdings"/>
      <family val="0"/>
    </font>
    <font>
      <b/>
      <sz val="9"/>
      <color indexed="32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8"/>
      <name val="Symbol"/>
      <family val="1"/>
    </font>
    <font>
      <sz val="9"/>
      <color indexed="32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b/>
      <sz val="9"/>
      <color indexed="18"/>
      <name val="Arial"/>
      <family val="2"/>
    </font>
    <font>
      <sz val="14"/>
      <name val="Wingdings"/>
      <family val="0"/>
    </font>
    <font>
      <sz val="12"/>
      <name val="Arial"/>
      <family val="2"/>
    </font>
    <font>
      <sz val="8"/>
      <color indexed="32"/>
      <name val="Arial"/>
      <family val="2"/>
    </font>
    <font>
      <vertAlign val="superscript"/>
      <sz val="8"/>
      <color indexed="32"/>
      <name val="Arial"/>
      <family val="2"/>
    </font>
    <font>
      <vertAlign val="superscript"/>
      <sz val="10"/>
      <color indexed="32"/>
      <name val="Arial"/>
      <family val="2"/>
    </font>
    <font>
      <b/>
      <sz val="11"/>
      <color indexed="13"/>
      <name val="Arial"/>
      <family val="2"/>
    </font>
    <font>
      <b/>
      <sz val="11"/>
      <color indexed="51"/>
      <name val="Arial"/>
      <family val="2"/>
    </font>
    <font>
      <sz val="10"/>
      <color indexed="47"/>
      <name val="Arial"/>
      <family val="2"/>
    </font>
    <font>
      <sz val="10"/>
      <color indexed="22"/>
      <name val="Arial"/>
      <family val="2"/>
    </font>
    <font>
      <b/>
      <i/>
      <sz val="16"/>
      <color indexed="52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8"/>
      <name val="Wingdings"/>
      <family val="0"/>
    </font>
    <font>
      <b/>
      <i/>
      <sz val="12"/>
      <color indexed="52"/>
      <name val="Arial"/>
      <family val="2"/>
    </font>
    <font>
      <sz val="10"/>
      <color indexed="47"/>
      <name val="Times New Roman"/>
      <family val="1"/>
    </font>
    <font>
      <b/>
      <sz val="12"/>
      <color indexed="56"/>
      <name val="Arial"/>
      <family val="2"/>
    </font>
    <font>
      <sz val="14"/>
      <name val="Arial"/>
      <family val="2"/>
    </font>
    <font>
      <sz val="12"/>
      <color indexed="18"/>
      <name val="Arial"/>
      <family val="2"/>
    </font>
    <font>
      <b/>
      <sz val="12"/>
      <color indexed="32"/>
      <name val="Arial"/>
      <family val="2"/>
    </font>
    <font>
      <b/>
      <vertAlign val="subscript"/>
      <sz val="12"/>
      <color indexed="32"/>
      <name val="Arial"/>
      <family val="2"/>
    </font>
    <font>
      <b/>
      <sz val="12"/>
      <color indexed="10"/>
      <name val="Arial"/>
      <family val="2"/>
    </font>
    <font>
      <b/>
      <sz val="12"/>
      <color indexed="16"/>
      <name val="Wingdings"/>
      <family val="0"/>
    </font>
    <font>
      <b/>
      <sz val="12"/>
      <color indexed="17"/>
      <name val="Wingdings"/>
      <family val="0"/>
    </font>
    <font>
      <b/>
      <vertAlign val="superscript"/>
      <sz val="12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vertAlign val="superscript"/>
      <sz val="12"/>
      <name val="Arial"/>
      <family val="2"/>
    </font>
    <font>
      <b/>
      <sz val="11"/>
      <color indexed="56"/>
      <name val="Arial"/>
      <family val="2"/>
    </font>
    <font>
      <b/>
      <sz val="9"/>
      <color indexed="56"/>
      <name val="Arial"/>
      <family val="2"/>
    </font>
    <font>
      <sz val="11"/>
      <color indexed="18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b/>
      <sz val="14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9.2"/>
      <color indexed="8"/>
      <name val="Arial"/>
      <family val="2"/>
    </font>
    <font>
      <sz val="10.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.75"/>
      <color indexed="8"/>
      <name val="Arial"/>
      <family val="2"/>
    </font>
    <font>
      <sz val="8.7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.2"/>
      <color indexed="8"/>
      <name val="Arial"/>
      <family val="2"/>
    </font>
    <font>
      <b/>
      <sz val="10.1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medium">
        <color indexed="32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32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25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32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44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1" fillId="20" borderId="0" applyNumberFormat="0" applyBorder="0" applyAlignment="0" applyProtection="0"/>
    <xf numFmtId="0" fontId="122" fillId="21" borderId="1" applyNumberFormat="0" applyAlignment="0" applyProtection="0"/>
    <xf numFmtId="0" fontId="123" fillId="22" borderId="2" applyNumberFormat="0" applyAlignment="0" applyProtection="0"/>
    <xf numFmtId="0" fontId="124" fillId="0" borderId="3" applyNumberFormat="0" applyFill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0" fillId="26" borderId="0" applyNumberFormat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25" fillId="29" borderId="1" applyNumberFormat="0" applyAlignment="0" applyProtection="0"/>
    <xf numFmtId="0" fontId="12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28" fillId="21" borderId="5" applyNumberFormat="0" applyAlignment="0" applyProtection="0"/>
    <xf numFmtId="169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90" fontId="5" fillId="0" borderId="0" xfId="0" applyNumberFormat="1" applyFont="1" applyFill="1" applyBorder="1" applyAlignment="1" applyProtection="1">
      <alignment/>
      <protection hidden="1"/>
    </xf>
    <xf numFmtId="190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9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190" fontId="15" fillId="0" borderId="11" xfId="0" applyNumberFormat="1" applyFont="1" applyFill="1" applyBorder="1" applyAlignment="1" applyProtection="1">
      <alignment horizontal="right"/>
      <protection hidden="1"/>
    </xf>
    <xf numFmtId="0" fontId="16" fillId="0" borderId="12" xfId="0" applyFont="1" applyBorder="1" applyAlignment="1">
      <alignment horizontal="center"/>
    </xf>
    <xf numFmtId="1" fontId="2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/>
    </xf>
    <xf numFmtId="0" fontId="10" fillId="34" borderId="0" xfId="0" applyFont="1" applyFill="1" applyAlignment="1" applyProtection="1">
      <alignment horizontal="left"/>
      <protection hidden="1"/>
    </xf>
    <xf numFmtId="0" fontId="10" fillId="34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190" fontId="24" fillId="35" borderId="13" xfId="0" applyNumberFormat="1" applyFont="1" applyFill="1" applyBorder="1" applyAlignment="1" applyProtection="1">
      <alignment horizontal="center"/>
      <protection hidden="1"/>
    </xf>
    <xf numFmtId="190" fontId="24" fillId="35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1" fontId="24" fillId="35" borderId="13" xfId="0" applyNumberFormat="1" applyFont="1" applyFill="1" applyBorder="1" applyAlignment="1" applyProtection="1">
      <alignment horizontal="center"/>
      <protection hidden="1"/>
    </xf>
    <xf numFmtId="2" fontId="24" fillId="35" borderId="13" xfId="0" applyNumberFormat="1" applyFont="1" applyFill="1" applyBorder="1" applyAlignment="1" applyProtection="1">
      <alignment horizontal="center"/>
      <protection hidden="1"/>
    </xf>
    <xf numFmtId="1" fontId="23" fillId="0" borderId="0" xfId="0" applyNumberFormat="1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90" fontId="24" fillId="35" borderId="0" xfId="0" applyNumberFormat="1" applyFont="1" applyFill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2" fontId="27" fillId="35" borderId="18" xfId="0" applyNumberFormat="1" applyFont="1" applyFill="1" applyBorder="1" applyAlignment="1" applyProtection="1">
      <alignment/>
      <protection hidden="1"/>
    </xf>
    <xf numFmtId="190" fontId="7" fillId="35" borderId="19" xfId="0" applyNumberFormat="1" applyFont="1" applyFill="1" applyBorder="1" applyAlignment="1" applyProtection="1">
      <alignment/>
      <protection hidden="1"/>
    </xf>
    <xf numFmtId="190" fontId="7" fillId="35" borderId="20" xfId="0" applyNumberFormat="1" applyFont="1" applyFill="1" applyBorder="1" applyAlignment="1" applyProtection="1">
      <alignment/>
      <protection hidden="1"/>
    </xf>
    <xf numFmtId="190" fontId="28" fillId="35" borderId="0" xfId="0" applyNumberFormat="1" applyFont="1" applyFill="1" applyBorder="1" applyAlignment="1" applyProtection="1">
      <alignment horizontal="center"/>
      <protection hidden="1"/>
    </xf>
    <xf numFmtId="1" fontId="24" fillId="35" borderId="0" xfId="0" applyNumberFormat="1" applyFont="1" applyFill="1" applyBorder="1" applyAlignment="1" applyProtection="1">
      <alignment horizontal="center"/>
      <protection hidden="1"/>
    </xf>
    <xf numFmtId="2" fontId="24" fillId="35" borderId="0" xfId="0" applyNumberFormat="1" applyFont="1" applyFill="1" applyBorder="1" applyAlignment="1" applyProtection="1">
      <alignment horizontal="center"/>
      <protection hidden="1"/>
    </xf>
    <xf numFmtId="190" fontId="24" fillId="35" borderId="21" xfId="0" applyNumberFormat="1" applyFont="1" applyFill="1" applyBorder="1" applyAlignment="1" applyProtection="1">
      <alignment horizontal="center"/>
      <protection hidden="1"/>
    </xf>
    <xf numFmtId="1" fontId="24" fillId="35" borderId="22" xfId="0" applyNumberFormat="1" applyFont="1" applyFill="1" applyBorder="1" applyAlignment="1" applyProtection="1">
      <alignment horizontal="center"/>
      <protection hidden="1"/>
    </xf>
    <xf numFmtId="190" fontId="24" fillId="35" borderId="23" xfId="0" applyNumberFormat="1" applyFont="1" applyFill="1" applyBorder="1" applyAlignment="1" applyProtection="1">
      <alignment horizontal="center"/>
      <protection hidden="1"/>
    </xf>
    <xf numFmtId="0" fontId="29" fillId="0" borderId="24" xfId="0" applyFont="1" applyBorder="1" applyAlignment="1" applyProtection="1">
      <alignment horizontal="center"/>
      <protection locked="0"/>
    </xf>
    <xf numFmtId="0" fontId="29" fillId="0" borderId="25" xfId="0" applyFont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2" fontId="23" fillId="35" borderId="26" xfId="0" applyNumberFormat="1" applyFont="1" applyFill="1" applyBorder="1" applyAlignment="1" applyProtection="1">
      <alignment/>
      <protection hidden="1"/>
    </xf>
    <xf numFmtId="190" fontId="7" fillId="35" borderId="23" xfId="0" applyNumberFormat="1" applyFont="1" applyFill="1" applyBorder="1" applyAlignment="1" applyProtection="1">
      <alignment/>
      <protection hidden="1"/>
    </xf>
    <xf numFmtId="190" fontId="7" fillId="35" borderId="27" xfId="0" applyNumberFormat="1" applyFont="1" applyFill="1" applyBorder="1" applyAlignment="1" applyProtection="1">
      <alignment/>
      <protection hidden="1"/>
    </xf>
    <xf numFmtId="1" fontId="24" fillId="35" borderId="23" xfId="0" applyNumberFormat="1" applyFont="1" applyFill="1" applyBorder="1" applyAlignment="1" applyProtection="1">
      <alignment horizontal="center"/>
      <protection hidden="1"/>
    </xf>
    <xf numFmtId="2" fontId="24" fillId="35" borderId="23" xfId="0" applyNumberFormat="1" applyFont="1" applyFill="1" applyBorder="1" applyAlignment="1" applyProtection="1">
      <alignment horizontal="center"/>
      <protection hidden="1"/>
    </xf>
    <xf numFmtId="190" fontId="24" fillId="35" borderId="28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35" borderId="29" xfId="0" applyNumberFormat="1" applyFill="1" applyBorder="1" applyAlignment="1" applyProtection="1">
      <alignment/>
      <protection hidden="1"/>
    </xf>
    <xf numFmtId="190" fontId="0" fillId="35" borderId="0" xfId="0" applyNumberFormat="1" applyFill="1" applyBorder="1" applyAlignment="1" applyProtection="1">
      <alignment/>
      <protection hidden="1"/>
    </xf>
    <xf numFmtId="190" fontId="0" fillId="35" borderId="30" xfId="0" applyNumberFormat="1" applyFill="1" applyBorder="1" applyAlignment="1" applyProtection="1">
      <alignment/>
      <protection hidden="1"/>
    </xf>
    <xf numFmtId="190" fontId="0" fillId="35" borderId="0" xfId="0" applyNumberFormat="1" applyFill="1" applyBorder="1" applyAlignment="1" applyProtection="1">
      <alignment horizontal="center"/>
      <protection hidden="1"/>
    </xf>
    <xf numFmtId="190" fontId="30" fillId="35" borderId="0" xfId="0" applyNumberFormat="1" applyFont="1" applyFill="1" applyBorder="1" applyAlignment="1" applyProtection="1">
      <alignment horizontal="center"/>
      <protection hidden="1"/>
    </xf>
    <xf numFmtId="2" fontId="0" fillId="35" borderId="0" xfId="0" applyNumberFormat="1" applyFill="1" applyBorder="1" applyAlignment="1" applyProtection="1">
      <alignment horizontal="center"/>
      <protection hidden="1"/>
    </xf>
    <xf numFmtId="190" fontId="0" fillId="35" borderId="21" xfId="0" applyNumberFormat="1" applyFill="1" applyBorder="1" applyAlignment="1" applyProtection="1">
      <alignment horizontal="center"/>
      <protection hidden="1"/>
    </xf>
    <xf numFmtId="2" fontId="0" fillId="35" borderId="26" xfId="0" applyNumberFormat="1" applyFill="1" applyBorder="1" applyAlignment="1" applyProtection="1">
      <alignment/>
      <protection hidden="1"/>
    </xf>
    <xf numFmtId="190" fontId="0" fillId="35" borderId="23" xfId="0" applyNumberFormat="1" applyFill="1" applyBorder="1" applyAlignment="1" applyProtection="1">
      <alignment/>
      <protection hidden="1"/>
    </xf>
    <xf numFmtId="190" fontId="0" fillId="35" borderId="27" xfId="0" applyNumberFormat="1" applyFill="1" applyBorder="1" applyAlignment="1" applyProtection="1">
      <alignment/>
      <protection hidden="1"/>
    </xf>
    <xf numFmtId="190" fontId="0" fillId="35" borderId="31" xfId="0" applyNumberFormat="1" applyFill="1" applyBorder="1" applyAlignment="1" applyProtection="1">
      <alignment horizontal="center"/>
      <protection hidden="1"/>
    </xf>
    <xf numFmtId="190" fontId="0" fillId="35" borderId="32" xfId="0" applyNumberForma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190" fontId="0" fillId="0" borderId="0" xfId="0" applyNumberForma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190" fontId="31" fillId="34" borderId="0" xfId="0" applyNumberFormat="1" applyFont="1" applyFill="1" applyBorder="1" applyAlignment="1" applyProtection="1">
      <alignment horizontal="left"/>
      <protection hidden="1"/>
    </xf>
    <xf numFmtId="1" fontId="0" fillId="34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1" fontId="24" fillId="35" borderId="33" xfId="0" applyNumberFormat="1" applyFont="1" applyFill="1" applyBorder="1" applyAlignment="1" applyProtection="1">
      <alignment horizontal="center"/>
      <protection hidden="1"/>
    </xf>
    <xf numFmtId="1" fontId="25" fillId="35" borderId="13" xfId="0" applyNumberFormat="1" applyFont="1" applyFill="1" applyBorder="1" applyAlignment="1" applyProtection="1">
      <alignment horizontal="center"/>
      <protection hidden="1"/>
    </xf>
    <xf numFmtId="190" fontId="25" fillId="35" borderId="13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1" fontId="24" fillId="35" borderId="34" xfId="0" applyNumberFormat="1" applyFont="1" applyFill="1" applyBorder="1" applyAlignment="1" applyProtection="1">
      <alignment horizontal="center"/>
      <protection hidden="1"/>
    </xf>
    <xf numFmtId="1" fontId="25" fillId="35" borderId="0" xfId="0" applyNumberFormat="1" applyFont="1" applyFill="1" applyBorder="1" applyAlignment="1" applyProtection="1">
      <alignment horizontal="center"/>
      <protection hidden="1"/>
    </xf>
    <xf numFmtId="190" fontId="25" fillId="35" borderId="0" xfId="0" applyNumberFormat="1" applyFont="1" applyFill="1" applyBorder="1" applyAlignment="1" applyProtection="1">
      <alignment horizontal="center"/>
      <protection hidden="1"/>
    </xf>
    <xf numFmtId="1" fontId="25" fillId="35" borderId="23" xfId="0" applyNumberFormat="1" applyFont="1" applyFill="1" applyBorder="1" applyAlignment="1" applyProtection="1">
      <alignment horizontal="center"/>
      <protection hidden="1"/>
    </xf>
    <xf numFmtId="190" fontId="25" fillId="35" borderId="23" xfId="0" applyNumberFormat="1" applyFont="1" applyFill="1" applyBorder="1" applyAlignment="1" applyProtection="1">
      <alignment horizontal="center"/>
      <protection hidden="1"/>
    </xf>
    <xf numFmtId="0" fontId="0" fillId="35" borderId="34" xfId="0" applyFill="1" applyBorder="1" applyAlignment="1" applyProtection="1">
      <alignment horizontal="center"/>
      <protection hidden="1"/>
    </xf>
    <xf numFmtId="190" fontId="5" fillId="35" borderId="0" xfId="0" applyNumberFormat="1" applyFont="1" applyFill="1" applyBorder="1" applyAlignment="1" applyProtection="1">
      <alignment/>
      <protection hidden="1"/>
    </xf>
    <xf numFmtId="190" fontId="0" fillId="35" borderId="35" xfId="0" applyNumberFormat="1" applyFill="1" applyBorder="1" applyAlignment="1" applyProtection="1">
      <alignment horizontal="center"/>
      <protection hidden="1"/>
    </xf>
    <xf numFmtId="190" fontId="0" fillId="35" borderId="36" xfId="0" applyNumberFormat="1" applyFill="1" applyBorder="1" applyAlignment="1" applyProtection="1">
      <alignment horizontal="center"/>
      <protection hidden="1"/>
    </xf>
    <xf numFmtId="2" fontId="0" fillId="35" borderId="36" xfId="0" applyNumberFormat="1" applyFill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 horizontal="center"/>
      <protection hidden="1"/>
    </xf>
    <xf numFmtId="1" fontId="0" fillId="33" borderId="35" xfId="0" applyNumberFormat="1" applyFill="1" applyBorder="1" applyAlignment="1" applyProtection="1">
      <alignment horizontal="center"/>
      <protection hidden="1"/>
    </xf>
    <xf numFmtId="190" fontId="0" fillId="33" borderId="35" xfId="0" applyNumberFormat="1" applyFill="1" applyBorder="1" applyAlignment="1" applyProtection="1">
      <alignment horizontal="center"/>
      <protection hidden="1"/>
    </xf>
    <xf numFmtId="1" fontId="0" fillId="35" borderId="35" xfId="0" applyNumberFormat="1" applyFill="1" applyBorder="1" applyAlignment="1" applyProtection="1">
      <alignment horizontal="center"/>
      <protection hidden="1"/>
    </xf>
    <xf numFmtId="2" fontId="0" fillId="35" borderId="35" xfId="0" applyNumberFormat="1" applyFill="1" applyBorder="1" applyAlignment="1" applyProtection="1">
      <alignment horizontal="center"/>
      <protection hidden="1"/>
    </xf>
    <xf numFmtId="190" fontId="0" fillId="35" borderId="38" xfId="0" applyNumberFormat="1" applyFill="1" applyBorder="1" applyAlignment="1" applyProtection="1">
      <alignment horizontal="center"/>
      <protection hidden="1"/>
    </xf>
    <xf numFmtId="2" fontId="0" fillId="33" borderId="35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9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90" fontId="38" fillId="35" borderId="13" xfId="0" applyNumberFormat="1" applyFont="1" applyFill="1" applyBorder="1" applyAlignment="1" applyProtection="1">
      <alignment horizontal="center"/>
      <protection hidden="1"/>
    </xf>
    <xf numFmtId="1" fontId="38" fillId="35" borderId="0" xfId="0" applyNumberFormat="1" applyFont="1" applyFill="1" applyBorder="1" applyAlignment="1" applyProtection="1">
      <alignment horizontal="center"/>
      <protection hidden="1"/>
    </xf>
    <xf numFmtId="1" fontId="38" fillId="35" borderId="23" xfId="0" applyNumberFormat="1" applyFont="1" applyFill="1" applyBorder="1" applyAlignment="1" applyProtection="1">
      <alignment horizontal="center"/>
      <protection hidden="1"/>
    </xf>
    <xf numFmtId="190" fontId="38" fillId="35" borderId="21" xfId="0" applyNumberFormat="1" applyFont="1" applyFill="1" applyBorder="1" applyAlignment="1" applyProtection="1">
      <alignment horizontal="center"/>
      <protection hidden="1"/>
    </xf>
    <xf numFmtId="1" fontId="38" fillId="35" borderId="28" xfId="0" applyNumberFormat="1" applyFont="1" applyFill="1" applyBorder="1" applyAlignment="1" applyProtection="1">
      <alignment horizontal="center"/>
      <protection hidden="1"/>
    </xf>
    <xf numFmtId="0" fontId="36" fillId="0" borderId="16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0" fontId="37" fillId="0" borderId="25" xfId="0" applyFont="1" applyBorder="1" applyAlignment="1" applyProtection="1">
      <alignment horizontal="center"/>
      <protection/>
    </xf>
    <xf numFmtId="0" fontId="39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39" xfId="0" applyBorder="1" applyAlignment="1" applyProtection="1">
      <alignment/>
      <protection hidden="1"/>
    </xf>
    <xf numFmtId="1" fontId="0" fillId="33" borderId="0" xfId="0" applyNumberFormat="1" applyFill="1" applyBorder="1" applyAlignment="1" applyProtection="1">
      <alignment/>
      <protection hidden="1"/>
    </xf>
    <xf numFmtId="190" fontId="0" fillId="33" borderId="0" xfId="0" applyNumberForma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190" fontId="0" fillId="33" borderId="0" xfId="0" applyNumberFormat="1" applyFont="1" applyFill="1" applyBorder="1" applyAlignment="1" applyProtection="1">
      <alignment/>
      <protection hidden="1"/>
    </xf>
    <xf numFmtId="1" fontId="0" fillId="33" borderId="0" xfId="0" applyNumberFormat="1" applyFont="1" applyFill="1" applyBorder="1" applyAlignment="1" applyProtection="1">
      <alignment/>
      <protection hidden="1"/>
    </xf>
    <xf numFmtId="2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0" fillId="33" borderId="0" xfId="0" applyFont="1" applyFill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5" fillId="0" borderId="41" xfId="0" applyFont="1" applyFill="1" applyBorder="1" applyAlignment="1" applyProtection="1">
      <alignment/>
      <protection hidden="1"/>
    </xf>
    <xf numFmtId="0" fontId="5" fillId="0" borderId="42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" fontId="41" fillId="33" borderId="0" xfId="0" applyNumberFormat="1" applyFont="1" applyFill="1" applyBorder="1" applyAlignment="1" applyProtection="1">
      <alignment/>
      <protection hidden="1"/>
    </xf>
    <xf numFmtId="2" fontId="17" fillId="0" borderId="43" xfId="0" applyNumberFormat="1" applyFont="1" applyFill="1" applyBorder="1" applyAlignment="1" applyProtection="1">
      <alignment horizontal="center"/>
      <protection locked="0"/>
    </xf>
    <xf numFmtId="1" fontId="43" fillId="33" borderId="0" xfId="0" applyNumberFormat="1" applyFont="1" applyFill="1" applyAlignment="1" applyProtection="1">
      <alignment horizontal="center"/>
      <protection hidden="1"/>
    </xf>
    <xf numFmtId="190" fontId="29" fillId="33" borderId="0" xfId="0" applyNumberFormat="1" applyFont="1" applyFill="1" applyAlignment="1" applyProtection="1">
      <alignment horizontal="center"/>
      <protection hidden="1"/>
    </xf>
    <xf numFmtId="1" fontId="44" fillId="35" borderId="44" xfId="0" applyNumberFormat="1" applyFont="1" applyFill="1" applyBorder="1" applyAlignment="1" applyProtection="1">
      <alignment horizontal="center"/>
      <protection hidden="1"/>
    </xf>
    <xf numFmtId="2" fontId="44" fillId="35" borderId="45" xfId="0" applyNumberFormat="1" applyFont="1" applyFill="1" applyBorder="1" applyAlignment="1" applyProtection="1">
      <alignment horizontal="center"/>
      <protection hidden="1"/>
    </xf>
    <xf numFmtId="190" fontId="44" fillId="35" borderId="45" xfId="0" applyNumberFormat="1" applyFont="1" applyFill="1" applyBorder="1" applyAlignment="1" applyProtection="1">
      <alignment horizontal="center"/>
      <protection hidden="1"/>
    </xf>
    <xf numFmtId="190" fontId="44" fillId="35" borderId="46" xfId="0" applyNumberFormat="1" applyFont="1" applyFill="1" applyBorder="1" applyAlignment="1" applyProtection="1">
      <alignment horizontal="center"/>
      <protection hidden="1"/>
    </xf>
    <xf numFmtId="1" fontId="46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190" fontId="47" fillId="33" borderId="0" xfId="0" applyNumberFormat="1" applyFont="1" applyFill="1" applyBorder="1" applyAlignment="1" applyProtection="1">
      <alignment/>
      <protection hidden="1"/>
    </xf>
    <xf numFmtId="1" fontId="48" fillId="33" borderId="0" xfId="0" applyNumberFormat="1" applyFont="1" applyFill="1" applyBorder="1" applyAlignment="1" applyProtection="1">
      <alignment/>
      <protection hidden="1"/>
    </xf>
    <xf numFmtId="190" fontId="44" fillId="35" borderId="47" xfId="0" applyNumberFormat="1" applyFont="1" applyFill="1" applyBorder="1" applyAlignment="1" applyProtection="1">
      <alignment horizontal="center"/>
      <protection hidden="1"/>
    </xf>
    <xf numFmtId="2" fontId="44" fillId="35" borderId="47" xfId="0" applyNumberFormat="1" applyFont="1" applyFill="1" applyBorder="1" applyAlignment="1" applyProtection="1">
      <alignment horizontal="center"/>
      <protection hidden="1"/>
    </xf>
    <xf numFmtId="190" fontId="44" fillId="35" borderId="48" xfId="0" applyNumberFormat="1" applyFont="1" applyFill="1" applyBorder="1" applyAlignment="1" applyProtection="1">
      <alignment horizontal="center"/>
      <protection hidden="1"/>
    </xf>
    <xf numFmtId="0" fontId="12" fillId="0" borderId="49" xfId="0" applyFont="1" applyBorder="1" applyAlignment="1" applyProtection="1">
      <alignment horizontal="center"/>
      <protection locked="0"/>
    </xf>
    <xf numFmtId="190" fontId="46" fillId="33" borderId="0" xfId="0" applyNumberFormat="1" applyFont="1" applyFill="1" applyBorder="1" applyAlignment="1" applyProtection="1">
      <alignment/>
      <protection hidden="1"/>
    </xf>
    <xf numFmtId="1" fontId="0" fillId="0" borderId="44" xfId="0" applyNumberFormat="1" applyBorder="1" applyAlignment="1" applyProtection="1">
      <alignment horizontal="center"/>
      <protection locked="0"/>
    </xf>
    <xf numFmtId="190" fontId="0" fillId="0" borderId="0" xfId="0" applyNumberFormat="1" applyBorder="1" applyAlignment="1" applyProtection="1">
      <alignment horizontal="center"/>
      <protection locked="0"/>
    </xf>
    <xf numFmtId="190" fontId="0" fillId="35" borderId="45" xfId="0" applyNumberFormat="1" applyFill="1" applyBorder="1" applyAlignment="1" applyProtection="1">
      <alignment horizontal="center"/>
      <protection hidden="1"/>
    </xf>
    <xf numFmtId="2" fontId="0" fillId="35" borderId="45" xfId="0" applyNumberFormat="1" applyFill="1" applyBorder="1" applyAlignment="1" applyProtection="1">
      <alignment horizontal="center"/>
      <protection hidden="1"/>
    </xf>
    <xf numFmtId="190" fontId="0" fillId="35" borderId="46" xfId="0" applyNumberForma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locked="0"/>
    </xf>
    <xf numFmtId="1" fontId="0" fillId="33" borderId="0" xfId="0" applyNumberFormat="1" applyFill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90" fontId="0" fillId="33" borderId="0" xfId="0" applyNumberFormat="1" applyFill="1" applyBorder="1" applyAlignment="1" applyProtection="1">
      <alignment/>
      <protection hidden="1"/>
    </xf>
    <xf numFmtId="1" fontId="0" fillId="0" borderId="50" xfId="0" applyNumberFormat="1" applyBorder="1" applyAlignment="1" applyProtection="1">
      <alignment horizontal="center"/>
      <protection locked="0"/>
    </xf>
    <xf numFmtId="190" fontId="0" fillId="35" borderId="51" xfId="0" applyNumberForma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locked="0"/>
    </xf>
    <xf numFmtId="190" fontId="0" fillId="0" borderId="0" xfId="0" applyNumberFormat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center"/>
      <protection hidden="1"/>
    </xf>
    <xf numFmtId="1" fontId="0" fillId="33" borderId="53" xfId="0" applyNumberFormat="1" applyFill="1" applyBorder="1" applyAlignment="1" applyProtection="1">
      <alignment horizontal="center"/>
      <protection hidden="1"/>
    </xf>
    <xf numFmtId="190" fontId="0" fillId="33" borderId="54" xfId="0" applyNumberFormat="1" applyFill="1" applyBorder="1" applyAlignment="1" applyProtection="1">
      <alignment horizontal="center"/>
      <protection hidden="1"/>
    </xf>
    <xf numFmtId="190" fontId="0" fillId="35" borderId="54" xfId="0" applyNumberFormat="1" applyFill="1" applyBorder="1" applyAlignment="1" applyProtection="1">
      <alignment horizontal="center"/>
      <protection hidden="1"/>
    </xf>
    <xf numFmtId="190" fontId="0" fillId="35" borderId="55" xfId="0" applyNumberForma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1" fontId="38" fillId="35" borderId="56" xfId="0" applyNumberFormat="1" applyFont="1" applyFill="1" applyBorder="1" applyAlignment="1" applyProtection="1">
      <alignment horizontal="center"/>
      <protection hidden="1"/>
    </xf>
    <xf numFmtId="0" fontId="12" fillId="35" borderId="57" xfId="0" applyFont="1" applyFill="1" applyBorder="1" applyAlignment="1" applyProtection="1">
      <alignment horizontal="center"/>
      <protection hidden="1"/>
    </xf>
    <xf numFmtId="2" fontId="49" fillId="35" borderId="45" xfId="0" applyNumberFormat="1" applyFont="1" applyFill="1" applyBorder="1" applyAlignment="1" applyProtection="1">
      <alignment horizontal="center"/>
      <protection hidden="1"/>
    </xf>
    <xf numFmtId="190" fontId="49" fillId="35" borderId="45" xfId="0" applyNumberFormat="1" applyFont="1" applyFill="1" applyBorder="1" applyAlignment="1" applyProtection="1">
      <alignment horizontal="center"/>
      <protection hidden="1"/>
    </xf>
    <xf numFmtId="2" fontId="50" fillId="35" borderId="47" xfId="0" applyNumberFormat="1" applyFont="1" applyFill="1" applyBorder="1" applyAlignment="1" applyProtection="1">
      <alignment horizontal="center"/>
      <protection hidden="1"/>
    </xf>
    <xf numFmtId="190" fontId="49" fillId="35" borderId="47" xfId="0" applyNumberFormat="1" applyFont="1" applyFill="1" applyBorder="1" applyAlignment="1" applyProtection="1">
      <alignment horizontal="center"/>
      <protection hidden="1"/>
    </xf>
    <xf numFmtId="1" fontId="51" fillId="35" borderId="47" xfId="0" applyNumberFormat="1" applyFont="1" applyFill="1" applyBorder="1" applyAlignment="1" applyProtection="1">
      <alignment horizontal="center"/>
      <protection hidden="1"/>
    </xf>
    <xf numFmtId="0" fontId="6" fillId="33" borderId="58" xfId="0" applyFont="1" applyFill="1" applyBorder="1" applyAlignment="1" applyProtection="1">
      <alignment horizontal="left"/>
      <protection hidden="1"/>
    </xf>
    <xf numFmtId="0" fontId="6" fillId="33" borderId="59" xfId="0" applyFont="1" applyFill="1" applyBorder="1" applyAlignment="1" applyProtection="1">
      <alignment horizontal="left"/>
      <protection hidden="1"/>
    </xf>
    <xf numFmtId="0" fontId="52" fillId="33" borderId="59" xfId="0" applyFont="1" applyFill="1" applyBorder="1" applyAlignment="1" applyProtection="1">
      <alignment horizontal="right"/>
      <protection hidden="1"/>
    </xf>
    <xf numFmtId="0" fontId="34" fillId="36" borderId="60" xfId="0" applyFont="1" applyFill="1" applyBorder="1" applyAlignment="1" applyProtection="1">
      <alignment/>
      <protection hidden="1"/>
    </xf>
    <xf numFmtId="190" fontId="23" fillId="36" borderId="61" xfId="0" applyNumberFormat="1" applyFont="1" applyFill="1" applyBorder="1" applyAlignment="1" applyProtection="1">
      <alignment/>
      <protection hidden="1"/>
    </xf>
    <xf numFmtId="0" fontId="38" fillId="36" borderId="61" xfId="0" applyFont="1" applyFill="1" applyBorder="1" applyAlignment="1" applyProtection="1">
      <alignment horizontal="right"/>
      <protection hidden="1"/>
    </xf>
    <xf numFmtId="2" fontId="41" fillId="36" borderId="62" xfId="0" applyNumberFormat="1" applyFont="1" applyFill="1" applyBorder="1" applyAlignment="1" applyProtection="1">
      <alignment horizontal="center"/>
      <protection hidden="1"/>
    </xf>
    <xf numFmtId="2" fontId="0" fillId="35" borderId="0" xfId="0" applyNumberFormat="1" applyFill="1" applyAlignment="1" applyProtection="1">
      <alignment horizontal="center"/>
      <protection hidden="1"/>
    </xf>
    <xf numFmtId="2" fontId="0" fillId="35" borderId="0" xfId="0" applyNumberFormat="1" applyFill="1" applyBorder="1" applyAlignment="1" applyProtection="1">
      <alignment horizontal="center"/>
      <protection/>
    </xf>
    <xf numFmtId="2" fontId="0" fillId="35" borderId="0" xfId="0" applyNumberFormat="1" applyFill="1" applyBorder="1" applyAlignment="1" applyProtection="1">
      <alignment horizontal="center"/>
      <protection locked="0"/>
    </xf>
    <xf numFmtId="2" fontId="0" fillId="35" borderId="21" xfId="0" applyNumberFormat="1" applyFill="1" applyBorder="1" applyAlignment="1" applyProtection="1">
      <alignment horizontal="center"/>
      <protection/>
    </xf>
    <xf numFmtId="190" fontId="0" fillId="0" borderId="23" xfId="0" applyNumberFormat="1" applyFill="1" applyBorder="1" applyAlignment="1" applyProtection="1">
      <alignment horizontal="center"/>
      <protection locked="0"/>
    </xf>
    <xf numFmtId="190" fontId="32" fillId="0" borderId="19" xfId="0" applyNumberFormat="1" applyFont="1" applyFill="1" applyBorder="1" applyAlignment="1" applyProtection="1">
      <alignment horizontal="center"/>
      <protection locked="0"/>
    </xf>
    <xf numFmtId="190" fontId="32" fillId="0" borderId="20" xfId="0" applyNumberFormat="1" applyFont="1" applyFill="1" applyBorder="1" applyAlignment="1" applyProtection="1">
      <alignment horizontal="center"/>
      <protection locked="0"/>
    </xf>
    <xf numFmtId="190" fontId="32" fillId="0" borderId="23" xfId="0" applyNumberFormat="1" applyFont="1" applyFill="1" applyBorder="1" applyAlignment="1" applyProtection="1">
      <alignment horizontal="center"/>
      <protection locked="0"/>
    </xf>
    <xf numFmtId="190" fontId="32" fillId="0" borderId="27" xfId="0" applyNumberFormat="1" applyFont="1" applyFill="1" applyBorder="1" applyAlignment="1" applyProtection="1">
      <alignment horizontal="center"/>
      <protection locked="0"/>
    </xf>
    <xf numFmtId="190" fontId="0" fillId="0" borderId="0" xfId="0" applyNumberFormat="1" applyFill="1" applyBorder="1" applyAlignment="1" applyProtection="1">
      <alignment/>
      <protection locked="0"/>
    </xf>
    <xf numFmtId="190" fontId="0" fillId="0" borderId="30" xfId="0" applyNumberForma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90" fontId="45" fillId="35" borderId="47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/>
    </xf>
    <xf numFmtId="0" fontId="39" fillId="0" borderId="23" xfId="0" applyFont="1" applyBorder="1" applyAlignment="1" applyProtection="1">
      <alignment horizontal="center"/>
      <protection/>
    </xf>
    <xf numFmtId="0" fontId="37" fillId="0" borderId="23" xfId="0" applyFont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0" fillId="35" borderId="36" xfId="0" applyFill="1" applyBorder="1" applyAlignment="1" applyProtection="1">
      <alignment horizontal="center"/>
      <protection hidden="1"/>
    </xf>
    <xf numFmtId="1" fontId="38" fillId="35" borderId="13" xfId="0" applyNumberFormat="1" applyFont="1" applyFill="1" applyBorder="1" applyAlignment="1" applyProtection="1">
      <alignment horizontal="center"/>
      <protection hidden="1"/>
    </xf>
    <xf numFmtId="190" fontId="5" fillId="35" borderId="30" xfId="0" applyNumberFormat="1" applyFont="1" applyFill="1" applyBorder="1" applyAlignment="1" applyProtection="1">
      <alignment/>
      <protection hidden="1"/>
    </xf>
    <xf numFmtId="0" fontId="37" fillId="0" borderId="0" xfId="0" applyFont="1" applyBorder="1" applyAlignment="1" applyProtection="1">
      <alignment horizontal="left"/>
      <protection/>
    </xf>
    <xf numFmtId="0" fontId="37" fillId="0" borderId="16" xfId="0" applyFont="1" applyBorder="1" applyAlignment="1" applyProtection="1">
      <alignment horizontal="left"/>
      <protection/>
    </xf>
    <xf numFmtId="2" fontId="44" fillId="35" borderId="0" xfId="0" applyNumberFormat="1" applyFont="1" applyFill="1" applyBorder="1" applyAlignment="1" applyProtection="1">
      <alignment horizontal="center"/>
      <protection hidden="1"/>
    </xf>
    <xf numFmtId="2" fontId="41" fillId="35" borderId="36" xfId="0" applyNumberFormat="1" applyFont="1" applyFill="1" applyBorder="1" applyAlignment="1" applyProtection="1">
      <alignment horizontal="center"/>
      <protection hidden="1"/>
    </xf>
    <xf numFmtId="19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44" fillId="0" borderId="0" xfId="0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/>
      <protection hidden="1"/>
    </xf>
    <xf numFmtId="0" fontId="37" fillId="0" borderId="15" xfId="0" applyFont="1" applyBorder="1" applyAlignment="1" applyProtection="1">
      <alignment horizontal="left"/>
      <protection hidden="1"/>
    </xf>
    <xf numFmtId="0" fontId="12" fillId="0" borderId="63" xfId="0" applyFont="1" applyBorder="1" applyAlignment="1" applyProtection="1">
      <alignment horizontal="center"/>
      <protection hidden="1"/>
    </xf>
    <xf numFmtId="0" fontId="39" fillId="0" borderId="64" xfId="0" applyFont="1" applyBorder="1" applyAlignment="1" applyProtection="1">
      <alignment horizontal="center"/>
      <protection hidden="1"/>
    </xf>
    <xf numFmtId="0" fontId="37" fillId="0" borderId="65" xfId="0" applyFont="1" applyBorder="1" applyAlignment="1" applyProtection="1">
      <alignment horizontal="center"/>
      <protection hidden="1"/>
    </xf>
    <xf numFmtId="0" fontId="37" fillId="0" borderId="66" xfId="0" applyFont="1" applyBorder="1" applyAlignment="1" applyProtection="1">
      <alignment horizontal="center"/>
      <protection hidden="1"/>
    </xf>
    <xf numFmtId="1" fontId="35" fillId="37" borderId="0" xfId="0" applyNumberFormat="1" applyFont="1" applyFill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1" fontId="0" fillId="37" borderId="0" xfId="0" applyNumberFormat="1" applyFont="1" applyFill="1" applyAlignment="1" applyProtection="1">
      <alignment horizontal="left"/>
      <protection hidden="1"/>
    </xf>
    <xf numFmtId="1" fontId="0" fillId="35" borderId="0" xfId="0" applyNumberFormat="1" applyFill="1" applyBorder="1" applyAlignment="1" applyProtection="1">
      <alignment horizontal="center"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67" xfId="0" applyFill="1" applyBorder="1" applyAlignment="1" applyProtection="1">
      <alignment/>
      <protection hidden="1"/>
    </xf>
    <xf numFmtId="0" fontId="0" fillId="35" borderId="64" xfId="0" applyFill="1" applyBorder="1" applyAlignment="1" applyProtection="1">
      <alignment/>
      <protection hidden="1"/>
    </xf>
    <xf numFmtId="0" fontId="0" fillId="35" borderId="66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5" borderId="0" xfId="0" applyFont="1" applyFill="1" applyAlignment="1" applyProtection="1">
      <alignment/>
      <protection hidden="1"/>
    </xf>
    <xf numFmtId="0" fontId="23" fillId="35" borderId="0" xfId="0" applyFont="1" applyFill="1" applyAlignment="1" applyProtection="1">
      <alignment/>
      <protection hidden="1"/>
    </xf>
    <xf numFmtId="0" fontId="24" fillId="35" borderId="0" xfId="0" applyFont="1" applyFill="1" applyAlignment="1" applyProtection="1">
      <alignment/>
      <protection hidden="1"/>
    </xf>
    <xf numFmtId="2" fontId="0" fillId="35" borderId="0" xfId="0" applyNumberFormat="1" applyFill="1" applyAlignment="1" applyProtection="1">
      <alignment/>
      <protection hidden="1"/>
    </xf>
    <xf numFmtId="190" fontId="0" fillId="35" borderId="0" xfId="0" applyNumberFormat="1" applyFill="1" applyAlignment="1" applyProtection="1">
      <alignment/>
      <protection hidden="1"/>
    </xf>
    <xf numFmtId="190" fontId="3" fillId="35" borderId="0" xfId="0" applyNumberFormat="1" applyFont="1" applyFill="1" applyBorder="1" applyAlignment="1" applyProtection="1">
      <alignment/>
      <protection hidden="1"/>
    </xf>
    <xf numFmtId="1" fontId="5" fillId="35" borderId="0" xfId="0" applyNumberFormat="1" applyFont="1" applyFill="1" applyBorder="1" applyAlignment="1" applyProtection="1">
      <alignment/>
      <protection hidden="1"/>
    </xf>
    <xf numFmtId="190" fontId="6" fillId="35" borderId="0" xfId="0" applyNumberFormat="1" applyFont="1" applyFill="1" applyBorder="1" applyAlignment="1" applyProtection="1">
      <alignment/>
      <protection hidden="1"/>
    </xf>
    <xf numFmtId="1" fontId="5" fillId="35" borderId="0" xfId="0" applyNumberFormat="1" applyFont="1" applyFill="1" applyBorder="1" applyAlignment="1" applyProtection="1">
      <alignment horizontal="right"/>
      <protection hidden="1"/>
    </xf>
    <xf numFmtId="190" fontId="4" fillId="35" borderId="0" xfId="0" applyNumberFormat="1" applyFont="1" applyFill="1" applyBorder="1" applyAlignment="1" applyProtection="1">
      <alignment/>
      <protection hidden="1"/>
    </xf>
    <xf numFmtId="2" fontId="1" fillId="35" borderId="0" xfId="0" applyNumberFormat="1" applyFont="1" applyFill="1" applyAlignment="1" applyProtection="1">
      <alignment/>
      <protection hidden="1"/>
    </xf>
    <xf numFmtId="1" fontId="0" fillId="35" borderId="0" xfId="0" applyNumberFormat="1" applyFill="1" applyBorder="1" applyAlignment="1" applyProtection="1">
      <alignment/>
      <protection hidden="1"/>
    </xf>
    <xf numFmtId="2" fontId="0" fillId="35" borderId="0" xfId="0" applyNumberFormat="1" applyFill="1" applyBorder="1" applyAlignment="1" applyProtection="1">
      <alignment/>
      <protection hidden="1"/>
    </xf>
    <xf numFmtId="1" fontId="6" fillId="35" borderId="0" xfId="0" applyNumberFormat="1" applyFont="1" applyFill="1" applyBorder="1" applyAlignment="1" applyProtection="1">
      <alignment/>
      <protection hidden="1"/>
    </xf>
    <xf numFmtId="190" fontId="10" fillId="35" borderId="0" xfId="0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190" fontId="53" fillId="35" borderId="0" xfId="0" applyNumberFormat="1" applyFont="1" applyFill="1" applyAlignment="1" applyProtection="1">
      <alignment/>
      <protection hidden="1"/>
    </xf>
    <xf numFmtId="0" fontId="11" fillId="35" borderId="0" xfId="0" applyFont="1" applyFill="1" applyAlignment="1" applyProtection="1">
      <alignment horizontal="center"/>
      <protection locked="0"/>
    </xf>
    <xf numFmtId="190" fontId="8" fillId="35" borderId="0" xfId="0" applyNumberFormat="1" applyFont="1" applyFill="1" applyAlignment="1" applyProtection="1">
      <alignment horizontal="center"/>
      <protection hidden="1"/>
    </xf>
    <xf numFmtId="0" fontId="10" fillId="35" borderId="0" xfId="0" applyFont="1" applyFill="1" applyAlignment="1" applyProtection="1">
      <alignment horizontal="left"/>
      <protection hidden="1"/>
    </xf>
    <xf numFmtId="0" fontId="12" fillId="35" borderId="0" xfId="0" applyFont="1" applyFill="1" applyAlignment="1" applyProtection="1">
      <alignment/>
      <protection hidden="1"/>
    </xf>
    <xf numFmtId="0" fontId="17" fillId="35" borderId="0" xfId="0" applyFont="1" applyFill="1" applyAlignment="1" applyProtection="1">
      <alignment/>
      <protection hidden="1"/>
    </xf>
    <xf numFmtId="0" fontId="18" fillId="35" borderId="0" xfId="0" applyFont="1" applyFill="1" applyAlignment="1" applyProtection="1">
      <alignment horizontal="left"/>
      <protection hidden="1"/>
    </xf>
    <xf numFmtId="190" fontId="10" fillId="35" borderId="0" xfId="0" applyNumberFormat="1" applyFont="1" applyFill="1" applyBorder="1" applyAlignment="1" applyProtection="1">
      <alignment/>
      <protection hidden="1"/>
    </xf>
    <xf numFmtId="0" fontId="19" fillId="35" borderId="0" xfId="0" applyFont="1" applyFill="1" applyAlignment="1" applyProtection="1">
      <alignment horizontal="left"/>
      <protection hidden="1"/>
    </xf>
    <xf numFmtId="0" fontId="10" fillId="35" borderId="0" xfId="0" applyFont="1" applyFill="1" applyBorder="1" applyAlignment="1" applyProtection="1">
      <alignment horizontal="center"/>
      <protection hidden="1"/>
    </xf>
    <xf numFmtId="1" fontId="20" fillId="35" borderId="0" xfId="0" applyNumberFormat="1" applyFont="1" applyFill="1" applyBorder="1" applyAlignment="1" applyProtection="1">
      <alignment/>
      <protection hidden="1"/>
    </xf>
    <xf numFmtId="1" fontId="11" fillId="35" borderId="0" xfId="0" applyNumberFormat="1" applyFont="1" applyFill="1" applyAlignment="1" applyProtection="1">
      <alignment horizontal="center"/>
      <protection locked="0"/>
    </xf>
    <xf numFmtId="0" fontId="13" fillId="35" borderId="0" xfId="0" applyFont="1" applyFill="1" applyAlignment="1">
      <alignment/>
    </xf>
    <xf numFmtId="190" fontId="26" fillId="35" borderId="17" xfId="0" applyNumberFormat="1" applyFont="1" applyFill="1" applyBorder="1" applyAlignment="1" applyProtection="1">
      <alignment horizontal="center"/>
      <protection hidden="1"/>
    </xf>
    <xf numFmtId="190" fontId="26" fillId="35" borderId="0" xfId="0" applyNumberFormat="1" applyFont="1" applyFill="1" applyBorder="1" applyAlignment="1" applyProtection="1">
      <alignment horizontal="center"/>
      <protection hidden="1"/>
    </xf>
    <xf numFmtId="2" fontId="7" fillId="35" borderId="0" xfId="0" applyNumberFormat="1" applyFont="1" applyFill="1" applyBorder="1" applyAlignment="1" applyProtection="1">
      <alignment/>
      <protection hidden="1"/>
    </xf>
    <xf numFmtId="0" fontId="23" fillId="35" borderId="17" xfId="0" applyFont="1" applyFill="1" applyBorder="1" applyAlignment="1">
      <alignment/>
    </xf>
    <xf numFmtId="0" fontId="23" fillId="35" borderId="0" xfId="0" applyFont="1" applyFill="1" applyAlignment="1">
      <alignment/>
    </xf>
    <xf numFmtId="190" fontId="0" fillId="35" borderId="17" xfId="0" applyNumberFormat="1" applyFill="1" applyBorder="1" applyAlignment="1" applyProtection="1">
      <alignment/>
      <protection hidden="1"/>
    </xf>
    <xf numFmtId="190" fontId="24" fillId="35" borderId="0" xfId="0" applyNumberFormat="1" applyFont="1" applyFill="1" applyBorder="1" applyAlignment="1" applyProtection="1">
      <alignment/>
      <protection hidden="1"/>
    </xf>
    <xf numFmtId="190" fontId="24" fillId="35" borderId="0" xfId="0" applyNumberFormat="1" applyFont="1" applyFill="1" applyAlignment="1" applyProtection="1">
      <alignment/>
      <protection hidden="1"/>
    </xf>
    <xf numFmtId="2" fontId="24" fillId="35" borderId="0" xfId="0" applyNumberFormat="1" applyFont="1" applyFill="1" applyAlignment="1" applyProtection="1">
      <alignment/>
      <protection hidden="1"/>
    </xf>
    <xf numFmtId="2" fontId="24" fillId="35" borderId="68" xfId="0" applyNumberFormat="1" applyFont="1" applyFill="1" applyBorder="1" applyAlignment="1" applyProtection="1">
      <alignment/>
      <protection hidden="1"/>
    </xf>
    <xf numFmtId="190" fontId="24" fillId="35" borderId="68" xfId="0" applyNumberFormat="1" applyFont="1" applyFill="1" applyBorder="1" applyAlignment="1" applyProtection="1">
      <alignment/>
      <protection hidden="1"/>
    </xf>
    <xf numFmtId="190" fontId="32" fillId="35" borderId="0" xfId="0" applyNumberFormat="1" applyFont="1" applyFill="1" applyBorder="1" applyAlignment="1" applyProtection="1">
      <alignment horizontal="center"/>
      <protection hidden="1"/>
    </xf>
    <xf numFmtId="190" fontId="0" fillId="35" borderId="19" xfId="0" applyNumberFormat="1" applyFill="1" applyBorder="1" applyAlignment="1" applyProtection="1">
      <alignment/>
      <protection hidden="1"/>
    </xf>
    <xf numFmtId="2" fontId="0" fillId="35" borderId="19" xfId="0" applyNumberFormat="1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/>
      <protection locked="0"/>
    </xf>
    <xf numFmtId="190" fontId="0" fillId="35" borderId="0" xfId="0" applyNumberFormat="1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/>
      <protection hidden="1"/>
    </xf>
    <xf numFmtId="2" fontId="24" fillId="35" borderId="0" xfId="0" applyNumberFormat="1" applyFont="1" applyFill="1" applyBorder="1" applyAlignment="1" applyProtection="1">
      <alignment/>
      <protection hidden="1"/>
    </xf>
    <xf numFmtId="2" fontId="5" fillId="35" borderId="0" xfId="0" applyNumberFormat="1" applyFont="1" applyFill="1" applyBorder="1" applyAlignment="1" applyProtection="1">
      <alignment/>
      <protection hidden="1"/>
    </xf>
    <xf numFmtId="0" fontId="34" fillId="35" borderId="0" xfId="0" applyFont="1" applyFill="1" applyBorder="1" applyAlignment="1" applyProtection="1">
      <alignment/>
      <protection hidden="1"/>
    </xf>
    <xf numFmtId="190" fontId="33" fillId="35" borderId="0" xfId="0" applyNumberFormat="1" applyFont="1" applyFill="1" applyBorder="1" applyAlignment="1" applyProtection="1">
      <alignment/>
      <protection hidden="1"/>
    </xf>
    <xf numFmtId="1" fontId="12" fillId="35" borderId="0" xfId="0" applyNumberFormat="1" applyFont="1" applyFill="1" applyBorder="1" applyAlignment="1" applyProtection="1">
      <alignment/>
      <protection hidden="1"/>
    </xf>
    <xf numFmtId="0" fontId="31" fillId="35" borderId="0" xfId="0" applyFont="1" applyFill="1" applyBorder="1" applyAlignment="1" applyProtection="1">
      <alignment/>
      <protection hidden="1"/>
    </xf>
    <xf numFmtId="0" fontId="41" fillId="35" borderId="0" xfId="0" applyFont="1" applyFill="1" applyAlignment="1" applyProtection="1">
      <alignment/>
      <protection hidden="1"/>
    </xf>
    <xf numFmtId="1" fontId="43" fillId="35" borderId="0" xfId="0" applyNumberFormat="1" applyFont="1" applyFill="1" applyAlignment="1" applyProtection="1">
      <alignment horizontal="center"/>
      <protection hidden="1"/>
    </xf>
    <xf numFmtId="1" fontId="43" fillId="35" borderId="0" xfId="0" applyNumberFormat="1" applyFont="1" applyFill="1" applyAlignment="1" applyProtection="1">
      <alignment horizontal="center"/>
      <protection hidden="1"/>
    </xf>
    <xf numFmtId="0" fontId="42" fillId="35" borderId="0" xfId="0" applyFont="1" applyFill="1" applyBorder="1" applyAlignment="1" applyProtection="1">
      <alignment/>
      <protection hidden="1"/>
    </xf>
    <xf numFmtId="2" fontId="42" fillId="35" borderId="0" xfId="0" applyNumberFormat="1" applyFont="1" applyFill="1" applyBorder="1" applyAlignment="1" applyProtection="1">
      <alignment/>
      <protection hidden="1"/>
    </xf>
    <xf numFmtId="1" fontId="41" fillId="35" borderId="0" xfId="0" applyNumberFormat="1" applyFont="1" applyFill="1" applyBorder="1" applyAlignment="1" applyProtection="1">
      <alignment/>
      <protection hidden="1"/>
    </xf>
    <xf numFmtId="190" fontId="41" fillId="35" borderId="0" xfId="0" applyNumberFormat="1" applyFont="1" applyFill="1" applyBorder="1" applyAlignment="1" applyProtection="1">
      <alignment/>
      <protection hidden="1"/>
    </xf>
    <xf numFmtId="2" fontId="29" fillId="35" borderId="69" xfId="0" applyNumberFormat="1" applyFont="1" applyFill="1" applyBorder="1" applyAlignment="1" applyProtection="1">
      <alignment/>
      <protection hidden="1"/>
    </xf>
    <xf numFmtId="190" fontId="5" fillId="35" borderId="70" xfId="0" applyNumberFormat="1" applyFont="1" applyFill="1" applyBorder="1" applyAlignment="1" applyProtection="1">
      <alignment/>
      <protection hidden="1"/>
    </xf>
    <xf numFmtId="190" fontId="5" fillId="35" borderId="71" xfId="0" applyNumberFormat="1" applyFont="1" applyFill="1" applyBorder="1" applyAlignment="1" applyProtection="1">
      <alignment/>
      <protection hidden="1"/>
    </xf>
    <xf numFmtId="2" fontId="29" fillId="35" borderId="69" xfId="0" applyNumberFormat="1" applyFont="1" applyFill="1" applyBorder="1" applyAlignment="1" applyProtection="1">
      <alignment horizontal="center"/>
      <protection hidden="1"/>
    </xf>
    <xf numFmtId="2" fontId="5" fillId="35" borderId="69" xfId="0" applyNumberFormat="1" applyFont="1" applyFill="1" applyBorder="1" applyAlignment="1" applyProtection="1">
      <alignment horizontal="center"/>
      <protection hidden="1"/>
    </xf>
    <xf numFmtId="2" fontId="5" fillId="35" borderId="72" xfId="0" applyNumberFormat="1" applyFont="1" applyFill="1" applyBorder="1" applyAlignment="1" applyProtection="1">
      <alignment horizontal="center"/>
      <protection hidden="1"/>
    </xf>
    <xf numFmtId="190" fontId="0" fillId="35" borderId="71" xfId="0" applyNumberFormat="1" applyFill="1" applyBorder="1" applyAlignment="1" applyProtection="1">
      <alignment horizontal="center"/>
      <protection hidden="1"/>
    </xf>
    <xf numFmtId="2" fontId="0" fillId="35" borderId="73" xfId="0" applyNumberFormat="1" applyFill="1" applyBorder="1" applyAlignment="1" applyProtection="1">
      <alignment/>
      <protection hidden="1"/>
    </xf>
    <xf numFmtId="190" fontId="5" fillId="35" borderId="25" xfId="0" applyNumberFormat="1" applyFont="1" applyFill="1" applyBorder="1" applyAlignment="1" applyProtection="1">
      <alignment/>
      <protection hidden="1"/>
    </xf>
    <xf numFmtId="190" fontId="5" fillId="35" borderId="74" xfId="0" applyNumberFormat="1" applyFont="1" applyFill="1" applyBorder="1" applyAlignment="1" applyProtection="1">
      <alignment/>
      <protection hidden="1"/>
    </xf>
    <xf numFmtId="2" fontId="0" fillId="35" borderId="73" xfId="0" applyNumberFormat="1" applyFill="1" applyBorder="1" applyAlignment="1" applyProtection="1">
      <alignment horizontal="left"/>
      <protection hidden="1"/>
    </xf>
    <xf numFmtId="2" fontId="5" fillId="35" borderId="73" xfId="0" applyNumberFormat="1" applyFont="1" applyFill="1" applyBorder="1" applyAlignment="1" applyProtection="1">
      <alignment horizontal="center"/>
      <protection hidden="1"/>
    </xf>
    <xf numFmtId="2" fontId="5" fillId="35" borderId="75" xfId="0" applyNumberFormat="1" applyFont="1" applyFill="1" applyBorder="1" applyAlignment="1" applyProtection="1">
      <alignment horizontal="center"/>
      <protection hidden="1"/>
    </xf>
    <xf numFmtId="190" fontId="0" fillId="35" borderId="74" xfId="0" applyNumberFormat="1" applyFill="1" applyBorder="1" applyAlignment="1" applyProtection="1">
      <alignment horizontal="center"/>
      <protection hidden="1"/>
    </xf>
    <xf numFmtId="2" fontId="0" fillId="35" borderId="76" xfId="0" applyNumberFormat="1" applyFill="1" applyBorder="1" applyAlignment="1" applyProtection="1">
      <alignment/>
      <protection hidden="1"/>
    </xf>
    <xf numFmtId="190" fontId="0" fillId="35" borderId="77" xfId="0" applyNumberFormat="1" applyFill="1" applyBorder="1" applyAlignment="1" applyProtection="1">
      <alignment/>
      <protection hidden="1"/>
    </xf>
    <xf numFmtId="2" fontId="0" fillId="35" borderId="76" xfId="0" applyNumberFormat="1" applyFill="1" applyBorder="1" applyAlignment="1" applyProtection="1">
      <alignment horizontal="center"/>
      <protection hidden="1"/>
    </xf>
    <xf numFmtId="2" fontId="5" fillId="35" borderId="0" xfId="0" applyNumberFormat="1" applyFont="1" applyFill="1" applyBorder="1" applyAlignment="1" applyProtection="1">
      <alignment horizontal="center"/>
      <protection hidden="1"/>
    </xf>
    <xf numFmtId="190" fontId="0" fillId="35" borderId="77" xfId="0" applyNumberFormat="1" applyFill="1" applyBorder="1" applyAlignment="1" applyProtection="1">
      <alignment horizontal="center"/>
      <protection hidden="1"/>
    </xf>
    <xf numFmtId="2" fontId="0" fillId="35" borderId="69" xfId="0" applyNumberFormat="1" applyFill="1" applyBorder="1" applyAlignment="1" applyProtection="1">
      <alignment/>
      <protection hidden="1"/>
    </xf>
    <xf numFmtId="190" fontId="0" fillId="35" borderId="70" xfId="0" applyNumberFormat="1" applyFill="1" applyBorder="1" applyAlignment="1" applyProtection="1">
      <alignment/>
      <protection hidden="1"/>
    </xf>
    <xf numFmtId="190" fontId="0" fillId="35" borderId="71" xfId="0" applyNumberFormat="1" applyFill="1" applyBorder="1" applyAlignment="1" applyProtection="1">
      <alignment/>
      <protection hidden="1"/>
    </xf>
    <xf numFmtId="190" fontId="0" fillId="35" borderId="25" xfId="0" applyNumberFormat="1" applyFill="1" applyBorder="1" applyAlignment="1" applyProtection="1">
      <alignment/>
      <protection hidden="1"/>
    </xf>
    <xf numFmtId="190" fontId="0" fillId="35" borderId="74" xfId="0" applyNumberFormat="1" applyFill="1" applyBorder="1" applyAlignment="1" applyProtection="1">
      <alignment/>
      <protection hidden="1"/>
    </xf>
    <xf numFmtId="2" fontId="0" fillId="35" borderId="73" xfId="0" applyNumberFormat="1" applyFill="1" applyBorder="1" applyAlignment="1" applyProtection="1">
      <alignment horizontal="center"/>
      <protection hidden="1"/>
    </xf>
    <xf numFmtId="2" fontId="0" fillId="35" borderId="25" xfId="0" applyNumberFormat="1" applyFill="1" applyBorder="1" applyAlignment="1" applyProtection="1">
      <alignment horizontal="center"/>
      <protection hidden="1"/>
    </xf>
    <xf numFmtId="2" fontId="5" fillId="35" borderId="25" xfId="0" applyNumberFormat="1" applyFont="1" applyFill="1" applyBorder="1" applyAlignment="1" applyProtection="1">
      <alignment horizontal="center"/>
      <protection hidden="1"/>
    </xf>
    <xf numFmtId="0" fontId="10" fillId="35" borderId="0" xfId="0" applyFont="1" applyFill="1" applyAlignment="1" applyProtection="1">
      <alignment/>
      <protection hidden="1"/>
    </xf>
    <xf numFmtId="2" fontId="11" fillId="35" borderId="0" xfId="0" applyNumberFormat="1" applyFont="1" applyFill="1" applyAlignment="1" applyProtection="1">
      <alignment horizontal="left"/>
      <protection hidden="1"/>
    </xf>
    <xf numFmtId="190" fontId="0" fillId="35" borderId="0" xfId="0" applyNumberFormat="1" applyFill="1" applyAlignment="1" applyProtection="1">
      <alignment horizontal="center"/>
      <protection hidden="1"/>
    </xf>
    <xf numFmtId="1" fontId="11" fillId="35" borderId="0" xfId="0" applyNumberFormat="1" applyFont="1" applyFill="1" applyAlignment="1" applyProtection="1">
      <alignment horizontal="center"/>
      <protection hidden="1"/>
    </xf>
    <xf numFmtId="1" fontId="17" fillId="35" borderId="0" xfId="0" applyNumberFormat="1" applyFont="1" applyFill="1" applyBorder="1" applyAlignment="1" applyProtection="1">
      <alignment/>
      <protection hidden="1"/>
    </xf>
    <xf numFmtId="2" fontId="9" fillId="35" borderId="0" xfId="0" applyNumberFormat="1" applyFont="1" applyFill="1" applyBorder="1" applyAlignment="1" applyProtection="1">
      <alignment/>
      <protection hidden="1"/>
    </xf>
    <xf numFmtId="2" fontId="11" fillId="35" borderId="0" xfId="0" applyNumberFormat="1" applyFont="1" applyFill="1" applyBorder="1" applyAlignment="1" applyProtection="1">
      <alignment horizontal="center"/>
      <protection hidden="1"/>
    </xf>
    <xf numFmtId="190" fontId="17" fillId="35" borderId="0" xfId="0" applyNumberFormat="1" applyFont="1" applyFill="1" applyAlignment="1" applyProtection="1">
      <alignment horizontal="center"/>
      <protection hidden="1"/>
    </xf>
    <xf numFmtId="2" fontId="41" fillId="35" borderId="0" xfId="0" applyNumberFormat="1" applyFont="1" applyFill="1" applyBorder="1" applyAlignment="1" applyProtection="1">
      <alignment horizontal="center"/>
      <protection hidden="1"/>
    </xf>
    <xf numFmtId="190" fontId="36" fillId="35" borderId="78" xfId="0" applyNumberFormat="1" applyFont="1" applyFill="1" applyBorder="1" applyAlignment="1" applyProtection="1">
      <alignment/>
      <protection hidden="1"/>
    </xf>
    <xf numFmtId="0" fontId="36" fillId="35" borderId="79" xfId="0" applyFont="1" applyFill="1" applyBorder="1" applyAlignment="1" applyProtection="1">
      <alignment/>
      <protection hidden="1"/>
    </xf>
    <xf numFmtId="0" fontId="36" fillId="35" borderId="80" xfId="0" applyFont="1" applyFill="1" applyBorder="1" applyAlignment="1" applyProtection="1">
      <alignment/>
      <protection hidden="1"/>
    </xf>
    <xf numFmtId="0" fontId="23" fillId="35" borderId="0" xfId="0" applyFont="1" applyFill="1" applyAlignment="1" applyProtection="1">
      <alignment/>
      <protection locked="0"/>
    </xf>
    <xf numFmtId="1" fontId="2" fillId="38" borderId="81" xfId="0" applyNumberFormat="1" applyFont="1" applyFill="1" applyBorder="1" applyAlignment="1" applyProtection="1">
      <alignment/>
      <protection hidden="1"/>
    </xf>
    <xf numFmtId="1" fontId="3" fillId="38" borderId="81" xfId="0" applyNumberFormat="1" applyFont="1" applyFill="1" applyBorder="1" applyAlignment="1" applyProtection="1">
      <alignment/>
      <protection hidden="1"/>
    </xf>
    <xf numFmtId="0" fontId="3" fillId="38" borderId="81" xfId="0" applyFont="1" applyFill="1" applyBorder="1" applyAlignment="1" applyProtection="1">
      <alignment/>
      <protection hidden="1"/>
    </xf>
    <xf numFmtId="190" fontId="3" fillId="38" borderId="81" xfId="0" applyNumberFormat="1" applyFont="1" applyFill="1" applyBorder="1" applyAlignment="1" applyProtection="1">
      <alignment/>
      <protection hidden="1"/>
    </xf>
    <xf numFmtId="190" fontId="3" fillId="38" borderId="82" xfId="0" applyNumberFormat="1" applyFont="1" applyFill="1" applyBorder="1" applyAlignment="1" applyProtection="1">
      <alignment/>
      <protection hidden="1"/>
    </xf>
    <xf numFmtId="0" fontId="5" fillId="38" borderId="83" xfId="0" applyFont="1" applyFill="1" applyBorder="1" applyAlignment="1" applyProtection="1">
      <alignment horizontal="center"/>
      <protection hidden="1"/>
    </xf>
    <xf numFmtId="1" fontId="5" fillId="38" borderId="0" xfId="0" applyNumberFormat="1" applyFont="1" applyFill="1" applyBorder="1" applyAlignment="1" applyProtection="1">
      <alignment/>
      <protection hidden="1"/>
    </xf>
    <xf numFmtId="0" fontId="57" fillId="38" borderId="0" xfId="0" applyFont="1" applyFill="1" applyBorder="1" applyAlignment="1" applyProtection="1">
      <alignment/>
      <protection hidden="1"/>
    </xf>
    <xf numFmtId="1" fontId="5" fillId="38" borderId="84" xfId="0" applyNumberFormat="1" applyFont="1" applyFill="1" applyBorder="1" applyAlignment="1" applyProtection="1">
      <alignment/>
      <protection hidden="1"/>
    </xf>
    <xf numFmtId="190" fontId="5" fillId="38" borderId="83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 horizontal="center"/>
      <protection hidden="1"/>
    </xf>
    <xf numFmtId="0" fontId="0" fillId="38" borderId="0" xfId="0" applyFill="1" applyBorder="1" applyAlignment="1" applyProtection="1">
      <alignment/>
      <protection hidden="1"/>
    </xf>
    <xf numFmtId="190" fontId="58" fillId="38" borderId="0" xfId="0" applyNumberFormat="1" applyFont="1" applyFill="1" applyBorder="1" applyAlignment="1" applyProtection="1">
      <alignment/>
      <protection hidden="1"/>
    </xf>
    <xf numFmtId="190" fontId="6" fillId="38" borderId="0" xfId="0" applyNumberFormat="1" applyFont="1" applyFill="1" applyBorder="1" applyAlignment="1" applyProtection="1">
      <alignment/>
      <protection hidden="1"/>
    </xf>
    <xf numFmtId="190" fontId="6" fillId="38" borderId="84" xfId="0" applyNumberFormat="1" applyFont="1" applyFill="1" applyBorder="1" applyAlignment="1" applyProtection="1">
      <alignment/>
      <protection hidden="1"/>
    </xf>
    <xf numFmtId="0" fontId="0" fillId="38" borderId="85" xfId="0" applyFill="1" applyBorder="1" applyAlignment="1" applyProtection="1">
      <alignment horizontal="center"/>
      <protection hidden="1"/>
    </xf>
    <xf numFmtId="0" fontId="0" fillId="38" borderId="86" xfId="0" applyFill="1" applyBorder="1" applyAlignment="1" applyProtection="1">
      <alignment/>
      <protection hidden="1"/>
    </xf>
    <xf numFmtId="1" fontId="5" fillId="38" borderId="86" xfId="0" applyNumberFormat="1" applyFont="1" applyFill="1" applyBorder="1" applyAlignment="1" applyProtection="1">
      <alignment/>
      <protection hidden="1"/>
    </xf>
    <xf numFmtId="1" fontId="60" fillId="38" borderId="87" xfId="0" applyNumberFormat="1" applyFont="1" applyFill="1" applyBorder="1" applyAlignment="1" applyProtection="1">
      <alignment horizontal="right"/>
      <protection hidden="1"/>
    </xf>
    <xf numFmtId="190" fontId="61" fillId="38" borderId="88" xfId="0" applyNumberFormat="1" applyFont="1" applyFill="1" applyBorder="1" applyAlignment="1" applyProtection="1">
      <alignment horizontal="left"/>
      <protection hidden="1"/>
    </xf>
    <xf numFmtId="0" fontId="36" fillId="39" borderId="0" xfId="0" applyFont="1" applyFill="1" applyBorder="1" applyAlignment="1" applyProtection="1">
      <alignment/>
      <protection hidden="1"/>
    </xf>
    <xf numFmtId="1" fontId="36" fillId="39" borderId="0" xfId="0" applyNumberFormat="1" applyFont="1" applyFill="1" applyBorder="1" applyAlignment="1" applyProtection="1">
      <alignment/>
      <protection hidden="1"/>
    </xf>
    <xf numFmtId="1" fontId="37" fillId="39" borderId="0" xfId="0" applyNumberFormat="1" applyFont="1" applyFill="1" applyBorder="1" applyAlignment="1" applyProtection="1">
      <alignment horizontal="center"/>
      <protection hidden="1"/>
    </xf>
    <xf numFmtId="0" fontId="62" fillId="39" borderId="0" xfId="0" applyFont="1" applyFill="1" applyBorder="1" applyAlignment="1" applyProtection="1">
      <alignment/>
      <protection hidden="1"/>
    </xf>
    <xf numFmtId="1" fontId="62" fillId="39" borderId="0" xfId="0" applyNumberFormat="1" applyFont="1" applyFill="1" applyBorder="1" applyAlignment="1" applyProtection="1">
      <alignment horizontal="left"/>
      <protection hidden="1"/>
    </xf>
    <xf numFmtId="1" fontId="62" fillId="39" borderId="0" xfId="0" applyNumberFormat="1" applyFont="1" applyFill="1" applyBorder="1" applyAlignment="1" applyProtection="1">
      <alignment/>
      <protection hidden="1"/>
    </xf>
    <xf numFmtId="1" fontId="63" fillId="39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190" fontId="0" fillId="35" borderId="29" xfId="0" applyNumberFormat="1" applyFill="1" applyBorder="1" applyAlignment="1" applyProtection="1">
      <alignment horizontal="center"/>
      <protection hidden="1"/>
    </xf>
    <xf numFmtId="190" fontId="0" fillId="35" borderId="26" xfId="0" applyNumberFormat="1" applyFill="1" applyBorder="1" applyAlignment="1" applyProtection="1">
      <alignment horizontal="center"/>
      <protection hidden="1"/>
    </xf>
    <xf numFmtId="0" fontId="36" fillId="40" borderId="0" xfId="0" applyFont="1" applyFill="1" applyAlignment="1" applyProtection="1">
      <alignment horizontal="center"/>
      <protection hidden="1"/>
    </xf>
    <xf numFmtId="193" fontId="10" fillId="40" borderId="0" xfId="0" applyNumberFormat="1" applyFont="1" applyFill="1" applyAlignment="1" applyProtection="1">
      <alignment/>
      <protection hidden="1"/>
    </xf>
    <xf numFmtId="1" fontId="2" fillId="38" borderId="0" xfId="0" applyNumberFormat="1" applyFont="1" applyFill="1" applyBorder="1" applyAlignment="1" applyProtection="1">
      <alignment/>
      <protection hidden="1"/>
    </xf>
    <xf numFmtId="1" fontId="3" fillId="38" borderId="0" xfId="0" applyNumberFormat="1" applyFont="1" applyFill="1" applyBorder="1" applyAlignment="1" applyProtection="1">
      <alignment/>
      <protection hidden="1"/>
    </xf>
    <xf numFmtId="0" fontId="3" fillId="38" borderId="0" xfId="0" applyFont="1" applyFill="1" applyBorder="1" applyAlignment="1" applyProtection="1">
      <alignment/>
      <protection hidden="1"/>
    </xf>
    <xf numFmtId="190" fontId="3" fillId="38" borderId="0" xfId="0" applyNumberFormat="1" applyFont="1" applyFill="1" applyBorder="1" applyAlignment="1" applyProtection="1">
      <alignment/>
      <protection hidden="1"/>
    </xf>
    <xf numFmtId="190" fontId="61" fillId="38" borderId="0" xfId="0" applyNumberFormat="1" applyFont="1" applyFill="1" applyBorder="1" applyAlignment="1" applyProtection="1">
      <alignment horizontal="left"/>
      <protection hidden="1"/>
    </xf>
    <xf numFmtId="0" fontId="5" fillId="38" borderId="0" xfId="0" applyFont="1" applyFill="1" applyBorder="1" applyAlignment="1" applyProtection="1">
      <alignment horizontal="center"/>
      <protection hidden="1"/>
    </xf>
    <xf numFmtId="190" fontId="5" fillId="38" borderId="0" xfId="0" applyNumberFormat="1" applyFont="1" applyFill="1" applyBorder="1" applyAlignment="1" applyProtection="1">
      <alignment horizontal="center"/>
      <protection hidden="1"/>
    </xf>
    <xf numFmtId="1" fontId="60" fillId="35" borderId="0" xfId="0" applyNumberFormat="1" applyFont="1" applyFill="1" applyBorder="1" applyAlignment="1" applyProtection="1">
      <alignment horizontal="right"/>
      <protection hidden="1"/>
    </xf>
    <xf numFmtId="1" fontId="57" fillId="38" borderId="0" xfId="0" applyNumberFormat="1" applyFont="1" applyFill="1" applyBorder="1" applyAlignment="1" applyProtection="1">
      <alignment/>
      <protection hidden="1"/>
    </xf>
    <xf numFmtId="1" fontId="2" fillId="35" borderId="0" xfId="0" applyNumberFormat="1" applyFont="1" applyFill="1" applyBorder="1" applyAlignment="1" applyProtection="1">
      <alignment/>
      <protection hidden="1"/>
    </xf>
    <xf numFmtId="1" fontId="59" fillId="38" borderId="0" xfId="0" applyNumberFormat="1" applyFont="1" applyFill="1" applyBorder="1" applyAlignment="1" applyProtection="1">
      <alignment horizontal="right"/>
      <protection hidden="1"/>
    </xf>
    <xf numFmtId="190" fontId="61" fillId="35" borderId="0" xfId="0" applyNumberFormat="1" applyFont="1" applyFill="1" applyBorder="1" applyAlignment="1" applyProtection="1">
      <alignment horizontal="left"/>
      <protection hidden="1"/>
    </xf>
    <xf numFmtId="2" fontId="25" fillId="35" borderId="69" xfId="0" applyNumberFormat="1" applyFont="1" applyFill="1" applyBorder="1" applyAlignment="1" applyProtection="1">
      <alignment horizontal="center"/>
      <protection hidden="1"/>
    </xf>
    <xf numFmtId="2" fontId="6" fillId="35" borderId="69" xfId="0" applyNumberFormat="1" applyFont="1" applyFill="1" applyBorder="1" applyAlignment="1" applyProtection="1">
      <alignment horizontal="center"/>
      <protection hidden="1"/>
    </xf>
    <xf numFmtId="2" fontId="6" fillId="35" borderId="72" xfId="0" applyNumberFormat="1" applyFont="1" applyFill="1" applyBorder="1" applyAlignment="1" applyProtection="1">
      <alignment horizontal="center"/>
      <protection hidden="1"/>
    </xf>
    <xf numFmtId="190" fontId="34" fillId="35" borderId="71" xfId="0" applyNumberFormat="1" applyFont="1" applyFill="1" applyBorder="1" applyAlignment="1" applyProtection="1">
      <alignment horizontal="center"/>
      <protection hidden="1"/>
    </xf>
    <xf numFmtId="2" fontId="34" fillId="35" borderId="73" xfId="0" applyNumberFormat="1" applyFont="1" applyFill="1" applyBorder="1" applyAlignment="1" applyProtection="1">
      <alignment horizontal="left"/>
      <protection hidden="1"/>
    </xf>
    <xf numFmtId="2" fontId="6" fillId="35" borderId="73" xfId="0" applyNumberFormat="1" applyFont="1" applyFill="1" applyBorder="1" applyAlignment="1" applyProtection="1">
      <alignment horizontal="center"/>
      <protection hidden="1"/>
    </xf>
    <xf numFmtId="2" fontId="6" fillId="35" borderId="75" xfId="0" applyNumberFormat="1" applyFont="1" applyFill="1" applyBorder="1" applyAlignment="1" applyProtection="1">
      <alignment horizontal="center"/>
      <protection hidden="1"/>
    </xf>
    <xf numFmtId="190" fontId="34" fillId="35" borderId="74" xfId="0" applyNumberFormat="1" applyFont="1" applyFill="1" applyBorder="1" applyAlignment="1" applyProtection="1">
      <alignment horizontal="center"/>
      <protection hidden="1"/>
    </xf>
    <xf numFmtId="2" fontId="25" fillId="35" borderId="69" xfId="0" applyNumberFormat="1" applyFont="1" applyFill="1" applyBorder="1" applyAlignment="1" applyProtection="1">
      <alignment/>
      <protection hidden="1"/>
    </xf>
    <xf numFmtId="190" fontId="31" fillId="35" borderId="70" xfId="0" applyNumberFormat="1" applyFont="1" applyFill="1" applyBorder="1" applyAlignment="1" applyProtection="1">
      <alignment/>
      <protection hidden="1"/>
    </xf>
    <xf numFmtId="190" fontId="31" fillId="35" borderId="71" xfId="0" applyNumberFormat="1" applyFont="1" applyFill="1" applyBorder="1" applyAlignment="1" applyProtection="1">
      <alignment/>
      <protection hidden="1"/>
    </xf>
    <xf numFmtId="2" fontId="34" fillId="35" borderId="73" xfId="0" applyNumberFormat="1" applyFont="1" applyFill="1" applyBorder="1" applyAlignment="1" applyProtection="1">
      <alignment/>
      <protection hidden="1"/>
    </xf>
    <xf numFmtId="190" fontId="6" fillId="35" borderId="25" xfId="0" applyNumberFormat="1" applyFont="1" applyFill="1" applyBorder="1" applyAlignment="1" applyProtection="1">
      <alignment/>
      <protection hidden="1"/>
    </xf>
    <xf numFmtId="190" fontId="6" fillId="35" borderId="74" xfId="0" applyNumberFormat="1" applyFont="1" applyFill="1" applyBorder="1" applyAlignment="1" applyProtection="1">
      <alignment/>
      <protection hidden="1"/>
    </xf>
    <xf numFmtId="2" fontId="12" fillId="35" borderId="69" xfId="0" applyNumberFormat="1" applyFont="1" applyFill="1" applyBorder="1" applyAlignment="1" applyProtection="1">
      <alignment/>
      <protection hidden="1"/>
    </xf>
    <xf numFmtId="2" fontId="10" fillId="35" borderId="73" xfId="0" applyNumberFormat="1" applyFont="1" applyFill="1" applyBorder="1" applyAlignment="1" applyProtection="1">
      <alignment/>
      <protection hidden="1"/>
    </xf>
    <xf numFmtId="190" fontId="31" fillId="35" borderId="25" xfId="0" applyNumberFormat="1" applyFont="1" applyFill="1" applyBorder="1" applyAlignment="1" applyProtection="1">
      <alignment/>
      <protection hidden="1"/>
    </xf>
    <xf numFmtId="190" fontId="31" fillId="35" borderId="74" xfId="0" applyNumberFormat="1" applyFont="1" applyFill="1" applyBorder="1" applyAlignment="1" applyProtection="1">
      <alignment/>
      <protection hidden="1"/>
    </xf>
    <xf numFmtId="1" fontId="61" fillId="38" borderId="0" xfId="0" applyNumberFormat="1" applyFont="1" applyFill="1" applyBorder="1" applyAlignment="1" applyProtection="1">
      <alignment/>
      <protection hidden="1"/>
    </xf>
    <xf numFmtId="1" fontId="0" fillId="38" borderId="0" xfId="0" applyNumberFormat="1" applyFill="1" applyBorder="1" applyAlignment="1" applyProtection="1">
      <alignment/>
      <protection hidden="1"/>
    </xf>
    <xf numFmtId="190" fontId="61" fillId="38" borderId="0" xfId="0" applyNumberFormat="1" applyFont="1" applyFill="1" applyBorder="1" applyAlignment="1" applyProtection="1">
      <alignment/>
      <protection hidden="1"/>
    </xf>
    <xf numFmtId="0" fontId="10" fillId="35" borderId="0" xfId="0" applyFont="1" applyFill="1" applyAlignment="1">
      <alignment/>
    </xf>
    <xf numFmtId="190" fontId="36" fillId="35" borderId="78" xfId="0" applyNumberFormat="1" applyFont="1" applyFill="1" applyBorder="1" applyAlignment="1" applyProtection="1">
      <alignment/>
      <protection/>
    </xf>
    <xf numFmtId="0" fontId="36" fillId="35" borderId="79" xfId="0" applyFont="1" applyFill="1" applyBorder="1" applyAlignment="1" applyProtection="1">
      <alignment/>
      <protection/>
    </xf>
    <xf numFmtId="0" fontId="36" fillId="35" borderId="80" xfId="0" applyFont="1" applyFill="1" applyBorder="1" applyAlignment="1" applyProtection="1">
      <alignment/>
      <protection/>
    </xf>
    <xf numFmtId="190" fontId="0" fillId="35" borderId="29" xfId="0" applyNumberFormat="1" applyFill="1" applyBorder="1" applyAlignment="1" applyProtection="1">
      <alignment horizontal="center"/>
      <protection/>
    </xf>
    <xf numFmtId="190" fontId="0" fillId="35" borderId="0" xfId="0" applyNumberFormat="1" applyFill="1" applyBorder="1" applyAlignment="1" applyProtection="1">
      <alignment/>
      <protection/>
    </xf>
    <xf numFmtId="190" fontId="0" fillId="35" borderId="30" xfId="0" applyNumberFormat="1" applyFill="1" applyBorder="1" applyAlignment="1" applyProtection="1">
      <alignment/>
      <protection/>
    </xf>
    <xf numFmtId="190" fontId="0" fillId="35" borderId="26" xfId="0" applyNumberFormat="1" applyFill="1" applyBorder="1" applyAlignment="1" applyProtection="1">
      <alignment horizontal="center"/>
      <protection/>
    </xf>
    <xf numFmtId="190" fontId="0" fillId="35" borderId="23" xfId="0" applyNumberFormat="1" applyFill="1" applyBorder="1" applyAlignment="1" applyProtection="1">
      <alignment/>
      <protection/>
    </xf>
    <xf numFmtId="190" fontId="0" fillId="35" borderId="27" xfId="0" applyNumberFormat="1" applyFill="1" applyBorder="1" applyAlignment="1" applyProtection="1">
      <alignment/>
      <protection/>
    </xf>
    <xf numFmtId="0" fontId="68" fillId="35" borderId="0" xfId="0" applyFont="1" applyFill="1" applyAlignment="1" applyProtection="1">
      <alignment/>
      <protection hidden="1"/>
    </xf>
    <xf numFmtId="0" fontId="69" fillId="35" borderId="89" xfId="0" applyFont="1" applyFill="1" applyBorder="1" applyAlignment="1" applyProtection="1">
      <alignment/>
      <protection hidden="1"/>
    </xf>
    <xf numFmtId="0" fontId="11" fillId="35" borderId="90" xfId="0" applyFont="1" applyFill="1" applyBorder="1" applyAlignment="1" applyProtection="1">
      <alignment horizontal="center"/>
      <protection locked="0"/>
    </xf>
    <xf numFmtId="1" fontId="11" fillId="0" borderId="90" xfId="0" applyNumberFormat="1" applyFont="1" applyBorder="1" applyAlignment="1" applyProtection="1">
      <alignment horizontal="center"/>
      <protection locked="0"/>
    </xf>
    <xf numFmtId="0" fontId="11" fillId="0" borderId="90" xfId="0" applyFont="1" applyBorder="1" applyAlignment="1" applyProtection="1">
      <alignment horizontal="center"/>
      <protection locked="0"/>
    </xf>
    <xf numFmtId="2" fontId="11" fillId="0" borderId="90" xfId="0" applyNumberFormat="1" applyFont="1" applyBorder="1" applyAlignment="1" applyProtection="1">
      <alignment horizontal="center"/>
      <protection locked="0"/>
    </xf>
    <xf numFmtId="1" fontId="17" fillId="33" borderId="90" xfId="0" applyNumberFormat="1" applyFont="1" applyFill="1" applyBorder="1" applyAlignment="1" applyProtection="1">
      <alignment/>
      <protection hidden="1"/>
    </xf>
    <xf numFmtId="190" fontId="17" fillId="33" borderId="90" xfId="0" applyNumberFormat="1" applyFont="1" applyFill="1" applyBorder="1" applyAlignment="1" applyProtection="1">
      <alignment horizontal="center"/>
      <protection hidden="1"/>
    </xf>
    <xf numFmtId="1" fontId="17" fillId="33" borderId="91" xfId="0" applyNumberFormat="1" applyFont="1" applyFill="1" applyBorder="1" applyAlignment="1" applyProtection="1">
      <alignment/>
      <protection hidden="1"/>
    </xf>
    <xf numFmtId="1" fontId="17" fillId="33" borderId="92" xfId="0" applyNumberFormat="1" applyFont="1" applyFill="1" applyBorder="1" applyAlignment="1" applyProtection="1">
      <alignment/>
      <protection hidden="1"/>
    </xf>
    <xf numFmtId="0" fontId="0" fillId="33" borderId="93" xfId="0" applyFill="1" applyBorder="1" applyAlignment="1" applyProtection="1">
      <alignment/>
      <protection hidden="1"/>
    </xf>
    <xf numFmtId="0" fontId="0" fillId="33" borderId="92" xfId="0" applyFill="1" applyBorder="1" applyAlignment="1" applyProtection="1">
      <alignment/>
      <protection hidden="1"/>
    </xf>
    <xf numFmtId="1" fontId="17" fillId="33" borderId="91" xfId="0" applyNumberFormat="1" applyFont="1" applyFill="1" applyBorder="1" applyAlignment="1" applyProtection="1">
      <alignment/>
      <protection hidden="1"/>
    </xf>
    <xf numFmtId="0" fontId="11" fillId="0" borderId="92" xfId="0" applyFont="1" applyBorder="1" applyAlignment="1" applyProtection="1">
      <alignment horizontal="center"/>
      <protection locked="0"/>
    </xf>
    <xf numFmtId="1" fontId="17" fillId="33" borderId="93" xfId="0" applyNumberFormat="1" applyFont="1" applyFill="1" applyBorder="1" applyAlignment="1" applyProtection="1">
      <alignment/>
      <protection hidden="1"/>
    </xf>
    <xf numFmtId="0" fontId="11" fillId="35" borderId="92" xfId="0" applyFont="1" applyFill="1" applyBorder="1" applyAlignment="1" applyProtection="1">
      <alignment horizontal="center"/>
      <protection locked="0"/>
    </xf>
    <xf numFmtId="0" fontId="11" fillId="35" borderId="92" xfId="0" applyFont="1" applyFill="1" applyBorder="1" applyAlignment="1" applyProtection="1">
      <alignment/>
      <protection locked="0"/>
    </xf>
    <xf numFmtId="190" fontId="17" fillId="33" borderId="91" xfId="0" applyNumberFormat="1" applyFont="1" applyFill="1" applyBorder="1" applyAlignment="1" applyProtection="1">
      <alignment horizontal="center"/>
      <protection hidden="1"/>
    </xf>
    <xf numFmtId="1" fontId="11" fillId="35" borderId="92" xfId="0" applyNumberFormat="1" applyFont="1" applyFill="1" applyBorder="1" applyAlignment="1" applyProtection="1">
      <alignment horizontal="center"/>
      <protection locked="0"/>
    </xf>
    <xf numFmtId="0" fontId="0" fillId="35" borderId="94" xfId="0" applyFill="1" applyBorder="1" applyAlignment="1" applyProtection="1">
      <alignment/>
      <protection hidden="1"/>
    </xf>
    <xf numFmtId="0" fontId="13" fillId="33" borderId="90" xfId="0" applyFont="1" applyFill="1" applyBorder="1" applyAlignment="1" applyProtection="1">
      <alignment horizontal="center"/>
      <protection hidden="1"/>
    </xf>
    <xf numFmtId="2" fontId="11" fillId="35" borderId="92" xfId="0" applyNumberFormat="1" applyFont="1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5" fillId="0" borderId="59" xfId="0" applyFont="1" applyFill="1" applyBorder="1" applyAlignment="1" applyProtection="1">
      <alignment/>
      <protection hidden="1"/>
    </xf>
    <xf numFmtId="0" fontId="5" fillId="0" borderId="43" xfId="0" applyFont="1" applyFill="1" applyBorder="1" applyAlignment="1" applyProtection="1">
      <alignment/>
      <protection hidden="1"/>
    </xf>
    <xf numFmtId="0" fontId="6" fillId="33" borderId="93" xfId="0" applyFont="1" applyFill="1" applyBorder="1" applyAlignment="1" applyProtection="1">
      <alignment horizontal="left"/>
      <protection hidden="1"/>
    </xf>
    <xf numFmtId="0" fontId="52" fillId="33" borderId="93" xfId="0" applyFont="1" applyFill="1" applyBorder="1" applyAlignment="1" applyProtection="1">
      <alignment horizontal="right"/>
      <protection hidden="1"/>
    </xf>
    <xf numFmtId="0" fontId="6" fillId="33" borderId="95" xfId="0" applyFont="1" applyFill="1" applyBorder="1" applyAlignment="1" applyProtection="1">
      <alignment horizontal="left"/>
      <protection hidden="1"/>
    </xf>
    <xf numFmtId="2" fontId="17" fillId="0" borderId="96" xfId="0" applyNumberFormat="1" applyFont="1" applyFill="1" applyBorder="1" applyAlignment="1" applyProtection="1">
      <alignment horizontal="center"/>
      <protection locked="0"/>
    </xf>
    <xf numFmtId="0" fontId="13" fillId="33" borderId="97" xfId="0" applyFont="1" applyFill="1" applyBorder="1" applyAlignment="1" applyProtection="1">
      <alignment horizontal="center"/>
      <protection hidden="1"/>
    </xf>
    <xf numFmtId="0" fontId="11" fillId="0" borderId="98" xfId="0" applyFont="1" applyBorder="1" applyAlignment="1" applyProtection="1">
      <alignment horizontal="center"/>
      <protection locked="0"/>
    </xf>
    <xf numFmtId="0" fontId="13" fillId="33" borderId="99" xfId="0" applyFont="1" applyFill="1" applyBorder="1" applyAlignment="1" applyProtection="1">
      <alignment horizontal="center"/>
      <protection hidden="1"/>
    </xf>
    <xf numFmtId="0" fontId="11" fillId="0" borderId="100" xfId="0" applyFont="1" applyBorder="1" applyAlignment="1" applyProtection="1">
      <alignment horizontal="center"/>
      <protection locked="0"/>
    </xf>
    <xf numFmtId="0" fontId="13" fillId="35" borderId="93" xfId="0" applyFont="1" applyFill="1" applyBorder="1" applyAlignment="1" applyProtection="1">
      <alignment horizontal="center"/>
      <protection hidden="1"/>
    </xf>
    <xf numFmtId="0" fontId="11" fillId="35" borderId="93" xfId="0" applyFont="1" applyFill="1" applyBorder="1" applyAlignment="1" applyProtection="1">
      <alignment horizontal="center"/>
      <protection hidden="1"/>
    </xf>
    <xf numFmtId="1" fontId="49" fillId="35" borderId="101" xfId="0" applyNumberFormat="1" applyFont="1" applyFill="1" applyBorder="1" applyAlignment="1" applyProtection="1">
      <alignment horizontal="center"/>
      <protection hidden="1"/>
    </xf>
    <xf numFmtId="0" fontId="12" fillId="35" borderId="47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locked="0"/>
    </xf>
    <xf numFmtId="0" fontId="36" fillId="35" borderId="0" xfId="0" applyFont="1" applyFill="1" applyBorder="1" applyAlignment="1" applyProtection="1">
      <alignment/>
      <protection hidden="1"/>
    </xf>
    <xf numFmtId="1" fontId="36" fillId="35" borderId="0" xfId="0" applyNumberFormat="1" applyFont="1" applyFill="1" applyBorder="1" applyAlignment="1" applyProtection="1">
      <alignment/>
      <protection hidden="1"/>
    </xf>
    <xf numFmtId="1" fontId="37" fillId="35" borderId="0" xfId="0" applyNumberFormat="1" applyFont="1" applyFill="1" applyBorder="1" applyAlignment="1" applyProtection="1">
      <alignment horizontal="center"/>
      <protection hidden="1"/>
    </xf>
    <xf numFmtId="0" fontId="38" fillId="33" borderId="0" xfId="0" applyFont="1" applyFill="1" applyAlignment="1" applyProtection="1">
      <alignment horizontal="center"/>
      <protection hidden="1"/>
    </xf>
    <xf numFmtId="2" fontId="0" fillId="33" borderId="0" xfId="0" applyNumberFormat="1" applyFont="1" applyFill="1" applyBorder="1" applyAlignment="1" applyProtection="1">
      <alignment horizontal="center"/>
      <protection/>
    </xf>
    <xf numFmtId="2" fontId="0" fillId="35" borderId="0" xfId="0" applyNumberFormat="1" applyFill="1" applyAlignment="1" applyProtection="1">
      <alignment horizontal="center"/>
      <protection/>
    </xf>
    <xf numFmtId="2" fontId="9" fillId="0" borderId="91" xfId="0" applyNumberFormat="1" applyFont="1" applyBorder="1" applyAlignment="1" applyProtection="1">
      <alignment horizontal="left"/>
      <protection locked="0"/>
    </xf>
    <xf numFmtId="2" fontId="9" fillId="0" borderId="93" xfId="0" applyNumberFormat="1" applyFont="1" applyBorder="1" applyAlignment="1" applyProtection="1">
      <alignment horizontal="left"/>
      <protection locked="0"/>
    </xf>
    <xf numFmtId="2" fontId="9" fillId="0" borderId="92" xfId="0" applyNumberFormat="1" applyFont="1" applyBorder="1" applyAlignment="1" applyProtection="1">
      <alignment horizontal="left"/>
      <protection locked="0"/>
    </xf>
    <xf numFmtId="2" fontId="9" fillId="35" borderId="91" xfId="0" applyNumberFormat="1" applyFont="1" applyFill="1" applyBorder="1" applyAlignment="1" applyProtection="1">
      <alignment horizontal="left"/>
      <protection locked="0"/>
    </xf>
    <xf numFmtId="2" fontId="9" fillId="35" borderId="93" xfId="0" applyNumberFormat="1" applyFont="1" applyFill="1" applyBorder="1" applyAlignment="1" applyProtection="1">
      <alignment horizontal="left"/>
      <protection locked="0"/>
    </xf>
    <xf numFmtId="2" fontId="9" fillId="35" borderId="92" xfId="0" applyNumberFormat="1" applyFont="1" applyFill="1" applyBorder="1" applyAlignment="1" applyProtection="1">
      <alignment horizontal="left"/>
      <protection locked="0"/>
    </xf>
    <xf numFmtId="49" fontId="11" fillId="0" borderId="91" xfId="0" applyNumberFormat="1" applyFont="1" applyBorder="1" applyAlignment="1" applyProtection="1">
      <alignment horizontal="left"/>
      <protection locked="0"/>
    </xf>
    <xf numFmtId="49" fontId="11" fillId="35" borderId="92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center"/>
      <protection hidden="1"/>
    </xf>
    <xf numFmtId="1" fontId="8" fillId="35" borderId="0" xfId="0" applyNumberFormat="1" applyFont="1" applyFill="1" applyBorder="1" applyAlignment="1" applyProtection="1">
      <alignment horizontal="center"/>
      <protection hidden="1"/>
    </xf>
    <xf numFmtId="190" fontId="73" fillId="35" borderId="0" xfId="0" applyNumberFormat="1" applyFont="1" applyFill="1" applyBorder="1" applyAlignment="1" applyProtection="1">
      <alignment horizontal="right"/>
      <protection hidden="1"/>
    </xf>
    <xf numFmtId="190" fontId="74" fillId="35" borderId="0" xfId="0" applyNumberFormat="1" applyFont="1" applyFill="1" applyBorder="1" applyAlignment="1" applyProtection="1">
      <alignment horizontal="right"/>
      <protection hidden="1"/>
    </xf>
    <xf numFmtId="2" fontId="17" fillId="35" borderId="0" xfId="0" applyNumberFormat="1" applyFont="1" applyFill="1" applyAlignment="1" applyProtection="1">
      <alignment/>
      <protection hidden="1"/>
    </xf>
    <xf numFmtId="2" fontId="23" fillId="0" borderId="0" xfId="0" applyNumberFormat="1" applyFont="1" applyFill="1" applyBorder="1" applyAlignment="1" applyProtection="1">
      <alignment/>
      <protection hidden="1"/>
    </xf>
    <xf numFmtId="190" fontId="23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190" fontId="0" fillId="0" borderId="0" xfId="0" applyNumberFormat="1" applyFont="1" applyFill="1" applyBorder="1" applyAlignment="1" applyProtection="1">
      <alignment/>
      <protection hidden="1"/>
    </xf>
    <xf numFmtId="0" fontId="0" fillId="35" borderId="7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2" fontId="24" fillId="0" borderId="0" xfId="0" applyNumberFormat="1" applyFont="1" applyAlignment="1" applyProtection="1">
      <alignment/>
      <protection hidden="1"/>
    </xf>
    <xf numFmtId="2" fontId="24" fillId="0" borderId="0" xfId="0" applyNumberFormat="1" applyFont="1" applyBorder="1" applyAlignment="1" applyProtection="1">
      <alignment/>
      <protection hidden="1"/>
    </xf>
    <xf numFmtId="2" fontId="24" fillId="0" borderId="0" xfId="0" applyNumberFormat="1" applyFont="1" applyFill="1" applyBorder="1" applyAlignment="1" applyProtection="1">
      <alignment/>
      <protection hidden="1"/>
    </xf>
    <xf numFmtId="192" fontId="0" fillId="0" borderId="0" xfId="0" applyNumberFormat="1" applyFont="1" applyFill="1" applyBorder="1" applyAlignment="1" applyProtection="1">
      <alignment/>
      <protection hidden="1"/>
    </xf>
    <xf numFmtId="1" fontId="24" fillId="35" borderId="102" xfId="0" applyNumberFormat="1" applyFont="1" applyFill="1" applyBorder="1" applyAlignment="1" applyProtection="1">
      <alignment horizontal="center"/>
      <protection hidden="1"/>
    </xf>
    <xf numFmtId="1" fontId="24" fillId="35" borderId="36" xfId="0" applyNumberFormat="1" applyFont="1" applyFill="1" applyBorder="1" applyAlignment="1" applyProtection="1">
      <alignment horizontal="center"/>
      <protection hidden="1"/>
    </xf>
    <xf numFmtId="190" fontId="24" fillId="35" borderId="36" xfId="0" applyNumberFormat="1" applyFont="1" applyFill="1" applyBorder="1" applyAlignment="1" applyProtection="1">
      <alignment horizontal="center"/>
      <protection hidden="1"/>
    </xf>
    <xf numFmtId="1" fontId="38" fillId="35" borderId="36" xfId="0" applyNumberFormat="1" applyFont="1" applyFill="1" applyBorder="1" applyAlignment="1" applyProtection="1">
      <alignment horizontal="center"/>
      <protection hidden="1"/>
    </xf>
    <xf numFmtId="2" fontId="24" fillId="35" borderId="36" xfId="0" applyNumberFormat="1" applyFont="1" applyFill="1" applyBorder="1" applyAlignment="1" applyProtection="1">
      <alignment horizontal="center"/>
      <protection hidden="1"/>
    </xf>
    <xf numFmtId="190" fontId="24" fillId="35" borderId="103" xfId="0" applyNumberFormat="1" applyFont="1" applyFill="1" applyBorder="1" applyAlignment="1" applyProtection="1">
      <alignment horizontal="center"/>
      <protection hidden="1"/>
    </xf>
    <xf numFmtId="0" fontId="23" fillId="35" borderId="104" xfId="0" applyFont="1" applyFill="1" applyBorder="1" applyAlignment="1" applyProtection="1">
      <alignment/>
      <protection hidden="1"/>
    </xf>
    <xf numFmtId="190" fontId="5" fillId="35" borderId="23" xfId="0" applyNumberFormat="1" applyFont="1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 horizontal="center"/>
      <protection hidden="1"/>
    </xf>
    <xf numFmtId="0" fontId="0" fillId="35" borderId="26" xfId="0" applyFill="1" applyBorder="1" applyAlignment="1" applyProtection="1">
      <alignment horizontal="center"/>
      <protection hidden="1"/>
    </xf>
    <xf numFmtId="190" fontId="0" fillId="35" borderId="78" xfId="0" applyNumberFormat="1" applyFill="1" applyBorder="1" applyAlignment="1" applyProtection="1">
      <alignment/>
      <protection hidden="1"/>
    </xf>
    <xf numFmtId="0" fontId="0" fillId="35" borderId="79" xfId="0" applyFill="1" applyBorder="1" applyAlignment="1" applyProtection="1">
      <alignment/>
      <protection hidden="1"/>
    </xf>
    <xf numFmtId="0" fontId="0" fillId="35" borderId="80" xfId="0" applyFill="1" applyBorder="1" applyAlignment="1" applyProtection="1">
      <alignment/>
      <protection hidden="1"/>
    </xf>
    <xf numFmtId="190" fontId="0" fillId="35" borderId="29" xfId="0" applyNumberFormat="1" applyFill="1" applyBorder="1" applyAlignment="1" applyProtection="1">
      <alignment/>
      <protection hidden="1"/>
    </xf>
    <xf numFmtId="0" fontId="0" fillId="35" borderId="30" xfId="0" applyFill="1" applyBorder="1" applyAlignment="1" applyProtection="1">
      <alignment/>
      <protection hidden="1"/>
    </xf>
    <xf numFmtId="190" fontId="0" fillId="35" borderId="26" xfId="0" applyNumberFormat="1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7" xfId="0" applyFill="1" applyBorder="1" applyAlignment="1" applyProtection="1">
      <alignment/>
      <protection hidden="1"/>
    </xf>
    <xf numFmtId="0" fontId="13" fillId="35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12" fillId="0" borderId="67" xfId="0" applyFont="1" applyBorder="1" applyAlignment="1" applyProtection="1">
      <alignment horizontal="center"/>
      <protection hidden="1"/>
    </xf>
    <xf numFmtId="0" fontId="29" fillId="0" borderId="24" xfId="0" applyFont="1" applyBorder="1" applyAlignment="1" applyProtection="1">
      <alignment horizontal="center"/>
      <protection hidden="1"/>
    </xf>
    <xf numFmtId="0" fontId="39" fillId="0" borderId="25" xfId="0" applyFont="1" applyBorder="1" applyAlignment="1" applyProtection="1">
      <alignment horizontal="center"/>
      <protection hidden="1"/>
    </xf>
    <xf numFmtId="0" fontId="37" fillId="0" borderId="25" xfId="0" applyFont="1" applyBorder="1" applyAlignment="1" applyProtection="1">
      <alignment horizontal="center"/>
      <protection hidden="1"/>
    </xf>
    <xf numFmtId="0" fontId="29" fillId="0" borderId="105" xfId="0" applyFont="1" applyBorder="1" applyAlignment="1" applyProtection="1">
      <alignment horizontal="center"/>
      <protection hidden="1"/>
    </xf>
    <xf numFmtId="0" fontId="0" fillId="0" borderId="67" xfId="0" applyBorder="1" applyAlignment="1" applyProtection="1">
      <alignment/>
      <protection hidden="1"/>
    </xf>
    <xf numFmtId="0" fontId="0" fillId="0" borderId="66" xfId="0" applyBorder="1" applyAlignment="1" applyProtection="1">
      <alignment/>
      <protection hidden="1"/>
    </xf>
    <xf numFmtId="2" fontId="76" fillId="35" borderId="106" xfId="0" applyNumberFormat="1" applyFont="1" applyFill="1" applyBorder="1" applyAlignment="1" applyProtection="1">
      <alignment/>
      <protection hidden="1"/>
    </xf>
    <xf numFmtId="2" fontId="76" fillId="35" borderId="107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2" fontId="36" fillId="33" borderId="0" xfId="0" applyNumberFormat="1" applyFont="1" applyFill="1" applyBorder="1" applyAlignment="1" applyProtection="1">
      <alignment horizontal="center"/>
      <protection/>
    </xf>
    <xf numFmtId="190" fontId="36" fillId="33" borderId="0" xfId="0" applyNumberFormat="1" applyFont="1" applyFill="1" applyAlignment="1" applyProtection="1">
      <alignment horizontal="center"/>
      <protection/>
    </xf>
    <xf numFmtId="2" fontId="0" fillId="35" borderId="108" xfId="0" applyNumberFormat="1" applyFill="1" applyBorder="1" applyAlignment="1" applyProtection="1">
      <alignment horizontal="center"/>
      <protection/>
    </xf>
    <xf numFmtId="0" fontId="6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7" fillId="37" borderId="0" xfId="0" applyFont="1" applyFill="1" applyAlignment="1">
      <alignment/>
    </xf>
    <xf numFmtId="0" fontId="53" fillId="35" borderId="0" xfId="0" applyFont="1" applyFill="1" applyAlignment="1">
      <alignment/>
    </xf>
    <xf numFmtId="0" fontId="79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53" fillId="35" borderId="0" xfId="0" applyFont="1" applyFill="1" applyAlignment="1" applyProtection="1">
      <alignment/>
      <protection/>
    </xf>
    <xf numFmtId="0" fontId="0" fillId="37" borderId="0" xfId="0" applyFill="1" applyAlignment="1">
      <alignment/>
    </xf>
    <xf numFmtId="0" fontId="34" fillId="38" borderId="61" xfId="0" applyFont="1" applyFill="1" applyBorder="1" applyAlignment="1" applyProtection="1">
      <alignment/>
      <protection hidden="1"/>
    </xf>
    <xf numFmtId="1" fontId="66" fillId="38" borderId="61" xfId="0" applyNumberFormat="1" applyFont="1" applyFill="1" applyBorder="1" applyAlignment="1" applyProtection="1">
      <alignment horizontal="right"/>
      <protection hidden="1"/>
    </xf>
    <xf numFmtId="190" fontId="0" fillId="35" borderId="56" xfId="0" applyNumberFormat="1" applyFill="1" applyBorder="1" applyAlignment="1" applyProtection="1">
      <alignment horizontal="center"/>
      <protection hidden="1"/>
    </xf>
    <xf numFmtId="190" fontId="81" fillId="35" borderId="13" xfId="0" applyNumberFormat="1" applyFont="1" applyFill="1" applyBorder="1" applyAlignment="1" applyProtection="1">
      <alignment horizontal="center"/>
      <protection hidden="1"/>
    </xf>
    <xf numFmtId="190" fontId="82" fillId="35" borderId="45" xfId="0" applyNumberFormat="1" applyFont="1" applyFill="1" applyBorder="1" applyAlignment="1" applyProtection="1">
      <alignment horizontal="center"/>
      <protection hidden="1"/>
    </xf>
    <xf numFmtId="194" fontId="11" fillId="35" borderId="90" xfId="0" applyNumberFormat="1" applyFont="1" applyFill="1" applyBorder="1" applyAlignment="1" applyProtection="1">
      <alignment horizontal="center"/>
      <protection locked="0"/>
    </xf>
    <xf numFmtId="0" fontId="69" fillId="35" borderId="56" xfId="0" applyFont="1" applyFill="1" applyBorder="1" applyAlignment="1" applyProtection="1">
      <alignment/>
      <protection hidden="1"/>
    </xf>
    <xf numFmtId="0" fontId="37" fillId="35" borderId="109" xfId="0" applyFont="1" applyFill="1" applyBorder="1" applyAlignment="1" applyProtection="1">
      <alignment horizontal="center"/>
      <protection hidden="1"/>
    </xf>
    <xf numFmtId="2" fontId="41" fillId="35" borderId="110" xfId="0" applyNumberFormat="1" applyFont="1" applyFill="1" applyBorder="1" applyAlignment="1" applyProtection="1">
      <alignment horizontal="center"/>
      <protection hidden="1"/>
    </xf>
    <xf numFmtId="2" fontId="0" fillId="35" borderId="111" xfId="0" applyNumberFormat="1" applyFill="1" applyBorder="1" applyAlignment="1" applyProtection="1">
      <alignment horizontal="center"/>
      <protection hidden="1"/>
    </xf>
    <xf numFmtId="2" fontId="0" fillId="35" borderId="110" xfId="0" applyNumberFormat="1" applyFill="1" applyBorder="1" applyAlignment="1" applyProtection="1">
      <alignment horizontal="center"/>
      <protection hidden="1"/>
    </xf>
    <xf numFmtId="0" fontId="69" fillId="35" borderId="0" xfId="0" applyFont="1" applyFill="1" applyBorder="1" applyAlignment="1" applyProtection="1">
      <alignment/>
      <protection hidden="1"/>
    </xf>
    <xf numFmtId="0" fontId="0" fillId="35" borderId="112" xfId="0" applyFill="1" applyBorder="1" applyAlignment="1" applyProtection="1">
      <alignment/>
      <protection hidden="1"/>
    </xf>
    <xf numFmtId="2" fontId="0" fillId="34" borderId="113" xfId="0" applyNumberFormat="1" applyFill="1" applyBorder="1" applyAlignment="1" applyProtection="1">
      <alignment horizontal="center"/>
      <protection hidden="1"/>
    </xf>
    <xf numFmtId="190" fontId="0" fillId="34" borderId="113" xfId="0" applyNumberFormat="1" applyFill="1" applyBorder="1" applyAlignment="1" applyProtection="1">
      <alignment horizontal="center"/>
      <protection hidden="1"/>
    </xf>
    <xf numFmtId="0" fontId="0" fillId="34" borderId="113" xfId="0" applyFill="1" applyBorder="1" applyAlignment="1" applyProtection="1">
      <alignment/>
      <protection hidden="1"/>
    </xf>
    <xf numFmtId="0" fontId="0" fillId="34" borderId="114" xfId="0" applyFill="1" applyBorder="1" applyAlignment="1" applyProtection="1">
      <alignment/>
      <protection hidden="1"/>
    </xf>
    <xf numFmtId="190" fontId="0" fillId="34" borderId="115" xfId="0" applyNumberFormat="1" applyFill="1" applyBorder="1" applyAlignment="1" applyProtection="1">
      <alignment horizontal="center"/>
      <protection hidden="1"/>
    </xf>
    <xf numFmtId="0" fontId="0" fillId="34" borderId="115" xfId="0" applyFill="1" applyBorder="1" applyAlignment="1" applyProtection="1">
      <alignment/>
      <protection hidden="1"/>
    </xf>
    <xf numFmtId="0" fontId="0" fillId="34" borderId="116" xfId="0" applyFill="1" applyBorder="1" applyAlignment="1" applyProtection="1">
      <alignment/>
      <protection hidden="1"/>
    </xf>
    <xf numFmtId="0" fontId="0" fillId="33" borderId="117" xfId="0" applyFill="1" applyBorder="1" applyAlignment="1" applyProtection="1">
      <alignment/>
      <protection hidden="1"/>
    </xf>
    <xf numFmtId="0" fontId="83" fillId="34" borderId="118" xfId="0" applyFont="1" applyFill="1" applyBorder="1" applyAlignment="1" applyProtection="1">
      <alignment horizontal="left"/>
      <protection hidden="1"/>
    </xf>
    <xf numFmtId="1" fontId="0" fillId="35" borderId="119" xfId="0" applyNumberFormat="1" applyFill="1" applyBorder="1" applyAlignment="1" applyProtection="1">
      <alignment/>
      <protection hidden="1"/>
    </xf>
    <xf numFmtId="0" fontId="0" fillId="0" borderId="119" xfId="0" applyBorder="1" applyAlignment="1" applyProtection="1">
      <alignment/>
      <protection hidden="1"/>
    </xf>
    <xf numFmtId="0" fontId="11" fillId="35" borderId="0" xfId="0" applyFont="1" applyFill="1" applyBorder="1" applyAlignment="1" applyProtection="1">
      <alignment horizontal="center"/>
      <protection hidden="1"/>
    </xf>
    <xf numFmtId="194" fontId="11" fillId="35" borderId="0" xfId="0" applyNumberFormat="1" applyFont="1" applyFill="1" applyBorder="1" applyAlignment="1" applyProtection="1">
      <alignment horizontal="center"/>
      <protection hidden="1"/>
    </xf>
    <xf numFmtId="0" fontId="67" fillId="35" borderId="120" xfId="0" applyFont="1" applyFill="1" applyBorder="1" applyAlignment="1" applyProtection="1">
      <alignment horizontal="left"/>
      <protection hidden="1"/>
    </xf>
    <xf numFmtId="1" fontId="17" fillId="33" borderId="121" xfId="0" applyNumberFormat="1" applyFont="1" applyFill="1" applyBorder="1" applyAlignment="1" applyProtection="1">
      <alignment/>
      <protection hidden="1"/>
    </xf>
    <xf numFmtId="1" fontId="17" fillId="33" borderId="122" xfId="0" applyNumberFormat="1" applyFont="1" applyFill="1" applyBorder="1" applyAlignment="1" applyProtection="1">
      <alignment/>
      <protection hidden="1"/>
    </xf>
    <xf numFmtId="190" fontId="29" fillId="35" borderId="0" xfId="0" applyNumberFormat="1" applyFont="1" applyFill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29" fillId="35" borderId="0" xfId="0" applyFont="1" applyFill="1" applyAlignment="1" applyProtection="1">
      <alignment/>
      <protection hidden="1"/>
    </xf>
    <xf numFmtId="190" fontId="29" fillId="34" borderId="115" xfId="0" applyNumberFormat="1" applyFont="1" applyFill="1" applyBorder="1" applyAlignment="1" applyProtection="1">
      <alignment horizontal="left"/>
      <protection hidden="1"/>
    </xf>
    <xf numFmtId="2" fontId="84" fillId="35" borderId="0" xfId="0" applyNumberFormat="1" applyFont="1" applyFill="1" applyAlignment="1" applyProtection="1">
      <alignment/>
      <protection hidden="1"/>
    </xf>
    <xf numFmtId="0" fontId="84" fillId="35" borderId="0" xfId="0" applyFont="1" applyFill="1" applyAlignment="1" applyProtection="1">
      <alignment/>
      <protection hidden="1"/>
    </xf>
    <xf numFmtId="0" fontId="29" fillId="34" borderId="123" xfId="0" applyFont="1" applyFill="1" applyBorder="1" applyAlignment="1" applyProtection="1">
      <alignment horizontal="left"/>
      <protection hidden="1"/>
    </xf>
    <xf numFmtId="0" fontId="11" fillId="35" borderId="0" xfId="0" applyFont="1" applyFill="1" applyBorder="1" applyAlignment="1" applyProtection="1">
      <alignment/>
      <protection locked="0"/>
    </xf>
    <xf numFmtId="1" fontId="11" fillId="35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hidden="1"/>
    </xf>
    <xf numFmtId="190" fontId="15" fillId="0" borderId="0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Border="1" applyAlignment="1">
      <alignment horizontal="center"/>
    </xf>
    <xf numFmtId="1" fontId="17" fillId="35" borderId="0" xfId="0" applyNumberFormat="1" applyFont="1" applyFill="1" applyBorder="1" applyAlignment="1" applyProtection="1">
      <alignment/>
      <protection hidden="1"/>
    </xf>
    <xf numFmtId="190" fontId="17" fillId="35" borderId="0" xfId="0" applyNumberFormat="1" applyFont="1" applyFill="1" applyBorder="1" applyAlignment="1" applyProtection="1">
      <alignment horizontal="center"/>
      <protection hidden="1"/>
    </xf>
    <xf numFmtId="190" fontId="5" fillId="35" borderId="25" xfId="0" applyNumberFormat="1" applyFont="1" applyFill="1" applyBorder="1" applyAlignment="1" applyProtection="1">
      <alignment horizontal="center"/>
      <protection hidden="1"/>
    </xf>
    <xf numFmtId="190" fontId="5" fillId="35" borderId="74" xfId="0" applyNumberFormat="1" applyFont="1" applyFill="1" applyBorder="1" applyAlignment="1" applyProtection="1">
      <alignment horizontal="center"/>
      <protection hidden="1"/>
    </xf>
    <xf numFmtId="2" fontId="0" fillId="35" borderId="124" xfId="0" applyNumberFormat="1" applyFill="1" applyBorder="1" applyAlignment="1" applyProtection="1">
      <alignment/>
      <protection hidden="1"/>
    </xf>
    <xf numFmtId="2" fontId="0" fillId="35" borderId="125" xfId="0" applyNumberFormat="1" applyFill="1" applyBorder="1" applyAlignment="1" applyProtection="1">
      <alignment/>
      <protection hidden="1"/>
    </xf>
    <xf numFmtId="2" fontId="0" fillId="35" borderId="126" xfId="0" applyNumberFormat="1" applyFill="1" applyBorder="1" applyAlignment="1" applyProtection="1">
      <alignment/>
      <protection hidden="1"/>
    </xf>
    <xf numFmtId="2" fontId="0" fillId="35" borderId="15" xfId="0" applyNumberFormat="1" applyFill="1" applyBorder="1" applyAlignment="1" applyProtection="1">
      <alignment/>
      <protection hidden="1"/>
    </xf>
    <xf numFmtId="2" fontId="0" fillId="35" borderId="16" xfId="0" applyNumberFormat="1" applyFill="1" applyBorder="1" applyAlignment="1" applyProtection="1">
      <alignment/>
      <protection hidden="1"/>
    </xf>
    <xf numFmtId="2" fontId="0" fillId="35" borderId="63" xfId="0" applyNumberFormat="1" applyFill="1" applyBorder="1" applyAlignment="1" applyProtection="1">
      <alignment/>
      <protection hidden="1"/>
    </xf>
    <xf numFmtId="2" fontId="0" fillId="35" borderId="17" xfId="0" applyNumberFormat="1" applyFill="1" applyBorder="1" applyAlignment="1" applyProtection="1">
      <alignment/>
      <protection hidden="1"/>
    </xf>
    <xf numFmtId="2" fontId="0" fillId="35" borderId="67" xfId="0" applyNumberFormat="1" applyFill="1" applyBorder="1" applyAlignment="1" applyProtection="1">
      <alignment/>
      <protection hidden="1"/>
    </xf>
    <xf numFmtId="2" fontId="0" fillId="35" borderId="64" xfId="0" applyNumberFormat="1" applyFill="1" applyBorder="1" applyAlignment="1" applyProtection="1">
      <alignment/>
      <protection hidden="1"/>
    </xf>
    <xf numFmtId="2" fontId="0" fillId="35" borderId="65" xfId="0" applyNumberFormat="1" applyFill="1" applyBorder="1" applyAlignment="1" applyProtection="1">
      <alignment/>
      <protection hidden="1"/>
    </xf>
    <xf numFmtId="2" fontId="0" fillId="35" borderId="66" xfId="0" applyNumberFormat="1" applyFill="1" applyBorder="1" applyAlignment="1" applyProtection="1">
      <alignment/>
      <protection hidden="1"/>
    </xf>
    <xf numFmtId="2" fontId="5" fillId="35" borderId="65" xfId="0" applyNumberFormat="1" applyFont="1" applyFill="1" applyBorder="1" applyAlignment="1" applyProtection="1">
      <alignment horizontal="center"/>
      <protection hidden="1"/>
    </xf>
    <xf numFmtId="193" fontId="0" fillId="35" borderId="0" xfId="0" applyNumberFormat="1" applyFill="1" applyBorder="1" applyAlignment="1" applyProtection="1">
      <alignment horizontal="center"/>
      <protection hidden="1"/>
    </xf>
    <xf numFmtId="190" fontId="0" fillId="33" borderId="0" xfId="0" applyNumberFormat="1" applyFill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hidden="1"/>
    </xf>
    <xf numFmtId="190" fontId="25" fillId="35" borderId="45" xfId="0" applyNumberFormat="1" applyFont="1" applyFill="1" applyBorder="1" applyAlignment="1" applyProtection="1">
      <alignment horizontal="center"/>
      <protection hidden="1"/>
    </xf>
    <xf numFmtId="190" fontId="44" fillId="35" borderId="127" xfId="0" applyNumberFormat="1" applyFont="1" applyFill="1" applyBorder="1" applyAlignment="1" applyProtection="1">
      <alignment horizontal="center"/>
      <protection hidden="1"/>
    </xf>
    <xf numFmtId="190" fontId="0" fillId="35" borderId="127" xfId="0" applyNumberFormat="1" applyFill="1" applyBorder="1" applyAlignment="1" applyProtection="1">
      <alignment horizontal="center"/>
      <protection hidden="1"/>
    </xf>
    <xf numFmtId="190" fontId="38" fillId="33" borderId="91" xfId="0" applyNumberFormat="1" applyFont="1" applyFill="1" applyBorder="1" applyAlignment="1" applyProtection="1">
      <alignment horizontal="left"/>
      <protection hidden="1"/>
    </xf>
    <xf numFmtId="190" fontId="36" fillId="33" borderId="91" xfId="0" applyNumberFormat="1" applyFont="1" applyFill="1" applyBorder="1" applyAlignment="1" applyProtection="1">
      <alignment horizontal="center"/>
      <protection hidden="1"/>
    </xf>
    <xf numFmtId="1" fontId="0" fillId="35" borderId="0" xfId="0" applyNumberFormat="1" applyFill="1" applyAlignment="1" applyProtection="1">
      <alignment/>
      <protection hidden="1"/>
    </xf>
    <xf numFmtId="1" fontId="44" fillId="35" borderId="0" xfId="0" applyNumberFormat="1" applyFont="1" applyFill="1" applyBorder="1" applyAlignment="1" applyProtection="1">
      <alignment horizontal="center"/>
      <protection hidden="1"/>
    </xf>
    <xf numFmtId="1" fontId="0" fillId="33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2" fontId="0" fillId="35" borderId="46" xfId="0" applyNumberFormat="1" applyFill="1" applyBorder="1" applyAlignment="1" applyProtection="1">
      <alignment horizontal="center"/>
      <protection hidden="1"/>
    </xf>
    <xf numFmtId="2" fontId="0" fillId="35" borderId="51" xfId="0" applyNumberFormat="1" applyFill="1" applyBorder="1" applyAlignment="1" applyProtection="1">
      <alignment horizontal="center"/>
      <protection hidden="1"/>
    </xf>
    <xf numFmtId="2" fontId="0" fillId="35" borderId="48" xfId="0" applyNumberFormat="1" applyFill="1" applyBorder="1" applyAlignment="1" applyProtection="1">
      <alignment horizontal="center"/>
      <protection hidden="1"/>
    </xf>
    <xf numFmtId="190" fontId="0" fillId="35" borderId="50" xfId="0" applyNumberFormat="1" applyFill="1" applyBorder="1" applyAlignment="1" applyProtection="1">
      <alignment horizontal="center"/>
      <protection hidden="1"/>
    </xf>
    <xf numFmtId="193" fontId="0" fillId="35" borderId="101" xfId="0" applyNumberFormat="1" applyFill="1" applyBorder="1" applyAlignment="1" applyProtection="1">
      <alignment horizontal="center"/>
      <protection hidden="1"/>
    </xf>
    <xf numFmtId="190" fontId="11" fillId="35" borderId="56" xfId="0" applyNumberFormat="1" applyFont="1" applyFill="1" applyBorder="1" applyAlignment="1" applyProtection="1">
      <alignment horizontal="right"/>
      <protection hidden="1"/>
    </xf>
    <xf numFmtId="0" fontId="0" fillId="0" borderId="128" xfId="0" applyBorder="1" applyAlignment="1" applyProtection="1">
      <alignment/>
      <protection hidden="1"/>
    </xf>
    <xf numFmtId="0" fontId="69" fillId="35" borderId="89" xfId="0" applyFont="1" applyFill="1" applyBorder="1" applyAlignment="1" applyProtection="1">
      <alignment horizontal="center"/>
      <protection hidden="1"/>
    </xf>
    <xf numFmtId="0" fontId="85" fillId="41" borderId="0" xfId="0" applyFont="1" applyFill="1" applyAlignment="1" applyProtection="1">
      <alignment/>
      <protection hidden="1"/>
    </xf>
    <xf numFmtId="190" fontId="85" fillId="41" borderId="0" xfId="0" applyNumberFormat="1" applyFont="1" applyFill="1" applyBorder="1" applyAlignment="1" applyProtection="1">
      <alignment/>
      <protection hidden="1"/>
    </xf>
    <xf numFmtId="190" fontId="32" fillId="0" borderId="16" xfId="0" applyNumberFormat="1" applyFont="1" applyFill="1" applyBorder="1" applyAlignment="1" applyProtection="1">
      <alignment horizontal="center"/>
      <protection locked="0"/>
    </xf>
    <xf numFmtId="190" fontId="32" fillId="0" borderId="63" xfId="0" applyNumberFormat="1" applyFont="1" applyFill="1" applyBorder="1" applyAlignment="1" applyProtection="1">
      <alignment horizontal="center"/>
      <protection locked="0"/>
    </xf>
    <xf numFmtId="190" fontId="0" fillId="0" borderId="67" xfId="0" applyNumberFormat="1" applyFill="1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hidden="1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190" fontId="32" fillId="0" borderId="65" xfId="0" applyNumberFormat="1" applyFont="1" applyFill="1" applyBorder="1" applyAlignment="1" applyProtection="1">
      <alignment horizontal="center"/>
      <protection locked="0"/>
    </xf>
    <xf numFmtId="190" fontId="32" fillId="0" borderId="66" xfId="0" applyNumberFormat="1" applyFont="1" applyFill="1" applyBorder="1" applyAlignment="1" applyProtection="1">
      <alignment horizontal="center"/>
      <protection locked="0"/>
    </xf>
    <xf numFmtId="0" fontId="85" fillId="41" borderId="0" xfId="0" applyFont="1" applyFill="1" applyAlignment="1" applyProtection="1">
      <alignment horizontal="left"/>
      <protection hidden="1"/>
    </xf>
    <xf numFmtId="2" fontId="70" fillId="35" borderId="129" xfId="0" applyNumberFormat="1" applyFont="1" applyFill="1" applyBorder="1" applyAlignment="1" applyProtection="1">
      <alignment horizontal="center"/>
      <protection hidden="1"/>
    </xf>
    <xf numFmtId="0" fontId="72" fillId="35" borderId="130" xfId="0" applyFont="1" applyFill="1" applyBorder="1" applyAlignment="1" applyProtection="1">
      <alignment horizontal="center"/>
      <protection hidden="1"/>
    </xf>
    <xf numFmtId="2" fontId="70" fillId="35" borderId="130" xfId="0" applyNumberFormat="1" applyFont="1" applyFill="1" applyBorder="1" applyAlignment="1" applyProtection="1">
      <alignment horizontal="center"/>
      <protection hidden="1"/>
    </xf>
    <xf numFmtId="2" fontId="72" fillId="35" borderId="130" xfId="0" applyNumberFormat="1" applyFont="1" applyFill="1" applyBorder="1" applyAlignment="1" applyProtection="1">
      <alignment horizontal="center"/>
      <protection hidden="1"/>
    </xf>
    <xf numFmtId="2" fontId="70" fillId="35" borderId="131" xfId="0" applyNumberFormat="1" applyFont="1" applyFill="1" applyBorder="1" applyAlignment="1" applyProtection="1">
      <alignment horizontal="center"/>
      <protection hidden="1"/>
    </xf>
    <xf numFmtId="0" fontId="0" fillId="0" borderId="120" xfId="0" applyBorder="1" applyAlignment="1" applyProtection="1">
      <alignment horizontal="center"/>
      <protection locked="0"/>
    </xf>
    <xf numFmtId="2" fontId="0" fillId="35" borderId="112" xfId="0" applyNumberFormat="1" applyFill="1" applyBorder="1" applyAlignment="1" applyProtection="1">
      <alignment horizontal="center"/>
      <protection hidden="1"/>
    </xf>
    <xf numFmtId="0" fontId="0" fillId="0" borderId="128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1" fontId="0" fillId="35" borderId="56" xfId="0" applyNumberFormat="1" applyFill="1" applyBorder="1" applyAlignment="1" applyProtection="1">
      <alignment horizontal="center"/>
      <protection hidden="1"/>
    </xf>
    <xf numFmtId="190" fontId="0" fillId="0" borderId="56" xfId="0" applyNumberFormat="1" applyBorder="1" applyAlignment="1" applyProtection="1">
      <alignment horizontal="center"/>
      <protection locked="0"/>
    </xf>
    <xf numFmtId="2" fontId="0" fillId="35" borderId="56" xfId="0" applyNumberFormat="1" applyFill="1" applyBorder="1" applyAlignment="1" applyProtection="1">
      <alignment horizontal="center"/>
      <protection hidden="1"/>
    </xf>
    <xf numFmtId="2" fontId="0" fillId="35" borderId="89" xfId="0" applyNumberFormat="1" applyFill="1" applyBorder="1" applyAlignment="1" applyProtection="1">
      <alignment horizontal="center"/>
      <protection hidden="1"/>
    </xf>
    <xf numFmtId="2" fontId="49" fillId="0" borderId="128" xfId="0" applyNumberFormat="1" applyFont="1" applyFill="1" applyBorder="1" applyAlignment="1" applyProtection="1">
      <alignment horizontal="center"/>
      <protection hidden="1"/>
    </xf>
    <xf numFmtId="0" fontId="12" fillId="35" borderId="56" xfId="0" applyFont="1" applyFill="1" applyBorder="1" applyAlignment="1" applyProtection="1">
      <alignment horizontal="center"/>
      <protection hidden="1"/>
    </xf>
    <xf numFmtId="190" fontId="45" fillId="35" borderId="56" xfId="0" applyNumberFormat="1" applyFont="1" applyFill="1" applyBorder="1" applyAlignment="1" applyProtection="1">
      <alignment horizontal="center"/>
      <protection hidden="1"/>
    </xf>
    <xf numFmtId="2" fontId="12" fillId="35" borderId="56" xfId="0" applyNumberFormat="1" applyFont="1" applyFill="1" applyBorder="1" applyAlignment="1" applyProtection="1">
      <alignment horizontal="center"/>
      <protection hidden="1"/>
    </xf>
    <xf numFmtId="2" fontId="41" fillId="35" borderId="56" xfId="0" applyNumberFormat="1" applyFont="1" applyFill="1" applyBorder="1" applyAlignment="1" applyProtection="1">
      <alignment horizontal="center"/>
      <protection hidden="1"/>
    </xf>
    <xf numFmtId="2" fontId="41" fillId="35" borderId="89" xfId="0" applyNumberFormat="1" applyFont="1" applyFill="1" applyBorder="1" applyAlignment="1" applyProtection="1">
      <alignment horizontal="center"/>
      <protection hidden="1"/>
    </xf>
    <xf numFmtId="0" fontId="0" fillId="35" borderId="120" xfId="0" applyFill="1" applyBorder="1" applyAlignment="1" applyProtection="1">
      <alignment/>
      <protection hidden="1"/>
    </xf>
    <xf numFmtId="0" fontId="0" fillId="35" borderId="56" xfId="0" applyFill="1" applyBorder="1" applyAlignment="1" applyProtection="1">
      <alignment/>
      <protection hidden="1"/>
    </xf>
    <xf numFmtId="2" fontId="11" fillId="35" borderId="56" xfId="0" applyNumberFormat="1" applyFont="1" applyFill="1" applyBorder="1" applyAlignment="1" applyProtection="1">
      <alignment horizontal="center"/>
      <protection hidden="1"/>
    </xf>
    <xf numFmtId="0" fontId="69" fillId="35" borderId="112" xfId="0" applyFont="1" applyFill="1" applyBorder="1" applyAlignment="1" applyProtection="1">
      <alignment/>
      <protection hidden="1"/>
    </xf>
    <xf numFmtId="0" fontId="86" fillId="37" borderId="129" xfId="0" applyFont="1" applyFill="1" applyBorder="1" applyAlignment="1" applyProtection="1">
      <alignment horizontal="left"/>
      <protection hidden="1"/>
    </xf>
    <xf numFmtId="0" fontId="0" fillId="37" borderId="130" xfId="0" applyFill="1" applyBorder="1" applyAlignment="1" applyProtection="1">
      <alignment/>
      <protection hidden="1"/>
    </xf>
    <xf numFmtId="0" fontId="0" fillId="37" borderId="131" xfId="0" applyFill="1" applyBorder="1" applyAlignment="1" applyProtection="1">
      <alignment/>
      <protection hidden="1"/>
    </xf>
    <xf numFmtId="0" fontId="67" fillId="35" borderId="128" xfId="0" applyFont="1" applyFill="1" applyBorder="1" applyAlignment="1" applyProtection="1">
      <alignment horizontal="left"/>
      <protection hidden="1"/>
    </xf>
    <xf numFmtId="0" fontId="67" fillId="37" borderId="132" xfId="0" applyFont="1" applyFill="1" applyBorder="1" applyAlignment="1" applyProtection="1">
      <alignment horizontal="left"/>
      <protection hidden="1"/>
    </xf>
    <xf numFmtId="0" fontId="0" fillId="37" borderId="133" xfId="0" applyFill="1" applyBorder="1" applyAlignment="1" applyProtection="1">
      <alignment/>
      <protection hidden="1"/>
    </xf>
    <xf numFmtId="1" fontId="0" fillId="37" borderId="134" xfId="0" applyNumberFormat="1" applyFill="1" applyBorder="1" applyAlignment="1" applyProtection="1">
      <alignment/>
      <protection hidden="1"/>
    </xf>
    <xf numFmtId="0" fontId="0" fillId="37" borderId="134" xfId="0" applyFill="1" applyBorder="1" applyAlignment="1" applyProtection="1">
      <alignment/>
      <protection hidden="1"/>
    </xf>
    <xf numFmtId="190" fontId="48" fillId="35" borderId="47" xfId="0" applyNumberFormat="1" applyFont="1" applyFill="1" applyBorder="1" applyAlignment="1" applyProtection="1">
      <alignment horizontal="center"/>
      <protection hidden="1"/>
    </xf>
    <xf numFmtId="2" fontId="11" fillId="35" borderId="0" xfId="0" applyNumberFormat="1" applyFont="1" applyFill="1" applyBorder="1" applyAlignment="1" applyProtection="1">
      <alignment horizontal="center"/>
      <protection locked="0"/>
    </xf>
    <xf numFmtId="190" fontId="36" fillId="33" borderId="93" xfId="0" applyNumberFormat="1" applyFont="1" applyFill="1" applyBorder="1" applyAlignment="1" applyProtection="1">
      <alignment horizontal="center"/>
      <protection hidden="1"/>
    </xf>
    <xf numFmtId="190" fontId="25" fillId="35" borderId="130" xfId="0" applyNumberFormat="1" applyFont="1" applyFill="1" applyBorder="1" applyAlignment="1" applyProtection="1">
      <alignment horizontal="center"/>
      <protection hidden="1"/>
    </xf>
    <xf numFmtId="190" fontId="44" fillId="35" borderId="56" xfId="0" applyNumberFormat="1" applyFont="1" applyFill="1" applyBorder="1" applyAlignment="1" applyProtection="1">
      <alignment horizontal="center"/>
      <protection hidden="1"/>
    </xf>
    <xf numFmtId="2" fontId="11" fillId="35" borderId="92" xfId="0" applyNumberFormat="1" applyFont="1" applyFill="1" applyBorder="1" applyAlignment="1" applyProtection="1">
      <alignment horizontal="right"/>
      <protection locked="0"/>
    </xf>
    <xf numFmtId="0" fontId="87" fillId="35" borderId="0" xfId="0" applyFont="1" applyFill="1" applyAlignment="1" applyProtection="1">
      <alignment horizontal="center"/>
      <protection hidden="1"/>
    </xf>
    <xf numFmtId="0" fontId="37" fillId="0" borderId="16" xfId="0" applyFont="1" applyBorder="1" applyAlignment="1" applyProtection="1">
      <alignment horizontal="left"/>
      <protection hidden="1"/>
    </xf>
    <xf numFmtId="0" fontId="12" fillId="0" borderId="64" xfId="0" applyFont="1" applyBorder="1" applyAlignment="1" applyProtection="1">
      <alignment horizontal="center"/>
      <protection hidden="1"/>
    </xf>
    <xf numFmtId="0" fontId="39" fillId="0" borderId="65" xfId="0" applyFont="1" applyBorder="1" applyAlignment="1" applyProtection="1">
      <alignment horizontal="center"/>
      <protection hidden="1"/>
    </xf>
    <xf numFmtId="0" fontId="29" fillId="0" borderId="17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190" fontId="0" fillId="0" borderId="17" xfId="0" applyNumberFormat="1" applyFill="1" applyBorder="1" applyAlignment="1" applyProtection="1">
      <alignment horizontal="center"/>
      <protection hidden="1"/>
    </xf>
    <xf numFmtId="190" fontId="0" fillId="0" borderId="64" xfId="0" applyNumberFormat="1" applyFill="1" applyBorder="1" applyAlignment="1" applyProtection="1">
      <alignment horizontal="center"/>
      <protection hidden="1"/>
    </xf>
    <xf numFmtId="0" fontId="38" fillId="33" borderId="90" xfId="0" applyFont="1" applyFill="1" applyBorder="1" applyAlignment="1" applyProtection="1">
      <alignment/>
      <protection hidden="1"/>
    </xf>
    <xf numFmtId="1" fontId="63" fillId="35" borderId="0" xfId="0" applyNumberFormat="1" applyFont="1" applyFill="1" applyBorder="1" applyAlignment="1" applyProtection="1">
      <alignment/>
      <protection hidden="1"/>
    </xf>
    <xf numFmtId="1" fontId="35" fillId="37" borderId="135" xfId="0" applyNumberFormat="1" applyFont="1" applyFill="1" applyBorder="1" applyAlignment="1" applyProtection="1">
      <alignment horizontal="center"/>
      <protection hidden="1"/>
    </xf>
    <xf numFmtId="0" fontId="0" fillId="37" borderId="136" xfId="0" applyFill="1" applyBorder="1" applyAlignment="1" applyProtection="1">
      <alignment/>
      <protection hidden="1"/>
    </xf>
    <xf numFmtId="0" fontId="0" fillId="37" borderId="137" xfId="0" applyFill="1" applyBorder="1" applyAlignment="1" applyProtection="1">
      <alignment/>
      <protection hidden="1"/>
    </xf>
    <xf numFmtId="1" fontId="0" fillId="37" borderId="138" xfId="0" applyNumberFormat="1" applyFont="1" applyFill="1" applyBorder="1" applyAlignment="1" applyProtection="1">
      <alignment horizontal="left"/>
      <protection hidden="1"/>
    </xf>
    <xf numFmtId="1" fontId="0" fillId="37" borderId="139" xfId="0" applyNumberFormat="1" applyFont="1" applyFill="1" applyBorder="1" applyAlignment="1" applyProtection="1">
      <alignment horizontal="left"/>
      <protection hidden="1"/>
    </xf>
    <xf numFmtId="0" fontId="0" fillId="37" borderId="139" xfId="0" applyFill="1" applyBorder="1" applyAlignment="1" applyProtection="1">
      <alignment/>
      <protection hidden="1"/>
    </xf>
    <xf numFmtId="0" fontId="0" fillId="37" borderId="140" xfId="0" applyFill="1" applyBorder="1" applyAlignment="1" applyProtection="1">
      <alignment/>
      <protection hidden="1"/>
    </xf>
    <xf numFmtId="190" fontId="58" fillId="38" borderId="61" xfId="0" applyNumberFormat="1" applyFont="1" applyFill="1" applyBorder="1" applyAlignment="1" applyProtection="1">
      <alignment/>
      <protection hidden="1"/>
    </xf>
    <xf numFmtId="1" fontId="58" fillId="38" borderId="0" xfId="0" applyNumberFormat="1" applyFont="1" applyFill="1" applyBorder="1" applyAlignment="1" applyProtection="1">
      <alignment/>
      <protection hidden="1"/>
    </xf>
    <xf numFmtId="1" fontId="5" fillId="38" borderId="141" xfId="0" applyNumberFormat="1" applyFont="1" applyFill="1" applyBorder="1" applyAlignment="1" applyProtection="1">
      <alignment/>
      <protection hidden="1"/>
    </xf>
    <xf numFmtId="1" fontId="58" fillId="38" borderId="141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Balanço Hídrico Normal Mensal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325"/>
          <c:w val="0.97575"/>
          <c:h val="0.8305"/>
        </c:manualLayout>
      </c:layout>
      <c:lineChart>
        <c:grouping val="standard"/>
        <c:varyColors val="0"/>
        <c:ser>
          <c:idx val="0"/>
          <c:order val="0"/>
          <c:tx>
            <c:v>Precipitação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'Normal Mensal'!$B$80:$B$91</c:f>
              <c:strCache/>
            </c:strRef>
          </c:cat>
          <c:val>
            <c:numRef>
              <c:f>'Normal Mensal'!$C$80:$C$91</c:f>
              <c:numCache/>
            </c:numRef>
          </c:val>
          <c:smooth val="0"/>
        </c:ser>
        <c:ser>
          <c:idx val="1"/>
          <c:order val="1"/>
          <c:tx>
            <c:v>ETP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'Normal Mensal'!$B$80:$B$91</c:f>
              <c:strCache/>
            </c:strRef>
          </c:cat>
          <c:val>
            <c:numRef>
              <c:f>'Normal Mensal'!$D$80:$D$91</c:f>
              <c:numCache/>
            </c:numRef>
          </c:val>
          <c:smooth val="0"/>
        </c:ser>
        <c:ser>
          <c:idx val="2"/>
          <c:order val="2"/>
          <c:tx>
            <c:v>ETR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'Normal Mensal'!$B$80:$B$91</c:f>
              <c:strCache/>
            </c:strRef>
          </c:cat>
          <c:val>
            <c:numRef>
              <c:f>'Normal Mensal'!$E$80:$E$91</c:f>
              <c:numCache/>
            </c:numRef>
          </c:val>
          <c:smooth val="0"/>
        </c:ser>
        <c:marker val="1"/>
        <c:axId val="53743682"/>
        <c:axId val="13931091"/>
      </c:lineChart>
      <c:catAx>
        <c:axId val="537436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low"/>
        <c:spPr>
          <a:ln w="12700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1091"/>
        <c:crosses val="autoZero"/>
        <c:auto val="0"/>
        <c:lblOffset val="100"/>
        <c:tickLblSkip val="1"/>
        <c:noMultiLvlLbl val="0"/>
      </c:catAx>
      <c:valAx>
        <c:axId val="1393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537436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45"/>
          <c:y val="0.93325"/>
          <c:w val="0.41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Extrato do Balanço Hídrico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725"/>
          <c:w val="0.93925"/>
          <c:h val="0.8305"/>
        </c:manualLayout>
      </c:layout>
      <c:areaChart>
        <c:grouping val="stacked"/>
        <c:varyColors val="0"/>
        <c:ser>
          <c:idx val="0"/>
          <c:order val="0"/>
          <c:tx>
            <c:strRef>
              <c:f>Sequencial!$AB$18</c:f>
              <c:strCache>
                <c:ptCount val="1"/>
                <c:pt idx="0">
                  <c:v>DEF(-1)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Sequencial!$AA$19:$AA$54</c:f>
              <c:strCache/>
            </c:strRef>
          </c:cat>
          <c:val>
            <c:numRef>
              <c:f>Sequencial!$AB$19:$AB$54</c:f>
              <c:numCache/>
            </c:numRef>
          </c:val>
        </c:ser>
        <c:ser>
          <c:idx val="1"/>
          <c:order val="1"/>
          <c:tx>
            <c:strRef>
              <c:f>Sequencial!$AC$18</c:f>
              <c:strCache>
                <c:ptCount val="1"/>
                <c:pt idx="0">
                  <c:v>EXC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Sequencial!$AA$19:$AA$54</c:f>
              <c:strCache/>
            </c:strRef>
          </c:cat>
          <c:val>
            <c:numRef>
              <c:f>Sequencial!$AC$19:$AC$54</c:f>
              <c:numCache/>
            </c:numRef>
          </c:val>
        </c:ser>
        <c:axId val="48794300"/>
        <c:axId val="36495517"/>
      </c:areaChart>
      <c:catAx>
        <c:axId val="48794300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5517"/>
        <c:crosses val="autoZero"/>
        <c:auto val="0"/>
        <c:lblOffset val="100"/>
        <c:tickLblSkip val="2"/>
        <c:noMultiLvlLbl val="0"/>
      </c:catAx>
      <c:valAx>
        <c:axId val="36495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43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3475"/>
          <c:w val="0.24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Balanço Hídrico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95"/>
          <c:w val="0.9705"/>
          <c:h val="0.8615"/>
        </c:manualLayout>
      </c:layout>
      <c:lineChart>
        <c:grouping val="standard"/>
        <c:varyColors val="0"/>
        <c:ser>
          <c:idx val="0"/>
          <c:order val="0"/>
          <c:tx>
            <c:v>Precipitação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Sequencial!$AO$19:$AO$54</c:f>
              <c:strCache/>
            </c:strRef>
          </c:cat>
          <c:val>
            <c:numRef>
              <c:f>Sequencial!$AP$19:$AP$54</c:f>
              <c:numCache/>
            </c:numRef>
          </c:val>
          <c:smooth val="0"/>
        </c:ser>
        <c:ser>
          <c:idx val="1"/>
          <c:order val="1"/>
          <c:tx>
            <c:v>ETP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Sequencial!$AO$19:$AO$54</c:f>
              <c:strCache/>
            </c:strRef>
          </c:cat>
          <c:val>
            <c:numRef>
              <c:f>Sequencial!$AQ$19:$AQ$54</c:f>
              <c:numCache/>
            </c:numRef>
          </c:val>
          <c:smooth val="0"/>
        </c:ser>
        <c:ser>
          <c:idx val="2"/>
          <c:order val="2"/>
          <c:tx>
            <c:v>ETR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Sequencial!$AO$19:$AO$54</c:f>
              <c:strCache/>
            </c:strRef>
          </c:cat>
          <c:val>
            <c:numRef>
              <c:f>Sequencial!$AR$19:$AR$54</c:f>
              <c:numCache/>
            </c:numRef>
          </c:val>
          <c:smooth val="0"/>
        </c:ser>
        <c:marker val="1"/>
        <c:axId val="60024198"/>
        <c:axId val="3346871"/>
      </c:lineChart>
      <c:catAx>
        <c:axId val="600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Decêndios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871"/>
        <c:crosses val="autoZero"/>
        <c:auto val="0"/>
        <c:lblOffset val="100"/>
        <c:tickLblSkip val="2"/>
        <c:noMultiLvlLbl val="0"/>
      </c:catAx>
      <c:valAx>
        <c:axId val="334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60024198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859"/>
          <c:w val="0.364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Capacidade de Água disponível (CAD) e Armazenamento (ARM) mensal 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9"/>
          <c:w val="0.989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Sequencial!$BC$18</c:f>
              <c:strCache>
                <c:ptCount val="1"/>
                <c:pt idx="0">
                  <c:v>CAD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Sequencial!$BB$19:$BB$54</c:f>
              <c:strCache/>
            </c:strRef>
          </c:cat>
          <c:val>
            <c:numRef>
              <c:f>Sequencial!$BC$19:$BC$54</c:f>
              <c:numCache/>
            </c:numRef>
          </c:val>
          <c:smooth val="0"/>
        </c:ser>
        <c:ser>
          <c:idx val="1"/>
          <c:order val="1"/>
          <c:tx>
            <c:strRef>
              <c:f>Sequencial!$BD$18</c:f>
              <c:strCache>
                <c:ptCount val="1"/>
                <c:pt idx="0">
                  <c:v>ARM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Sequencial!$BB$19:$BB$54</c:f>
              <c:strCache/>
            </c:strRef>
          </c:cat>
          <c:val>
            <c:numRef>
              <c:f>Sequencial!$BD$19:$BD$54</c:f>
              <c:numCache/>
            </c:numRef>
          </c:val>
          <c:smooth val="0"/>
        </c:ser>
        <c:marker val="1"/>
        <c:axId val="30121840"/>
        <c:axId val="2661105"/>
      </c:lineChart>
      <c:catAx>
        <c:axId val="30121840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105"/>
        <c:crosses val="autoZero"/>
        <c:auto val="0"/>
        <c:lblOffset val="100"/>
        <c:tickLblSkip val="2"/>
        <c:noMultiLvlLbl val="0"/>
      </c:catAx>
      <c:valAx>
        <c:axId val="2661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184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65"/>
          <c:y val="0.9355"/>
          <c:w val="0.2847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Deficiência, Excedente, Retirada e Reposição Hídrica ao longo do ano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375"/>
          <c:w val="0.928"/>
          <c:h val="0.763"/>
        </c:manualLayout>
      </c:layout>
      <c:barChart>
        <c:barDir val="col"/>
        <c:grouping val="stacked"/>
        <c:varyColors val="0"/>
        <c:ser>
          <c:idx val="2"/>
          <c:order val="0"/>
          <c:tx>
            <c:v>EXC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Sequencial!$AO$96:$AO$131</c:f>
              <c:strCache/>
            </c:strRef>
          </c:cat>
          <c:val>
            <c:numRef>
              <c:f>Sequencial!$AP$96:$AP$131</c:f>
              <c:numCache/>
            </c:numRef>
          </c:val>
        </c:ser>
        <c:ser>
          <c:idx val="3"/>
          <c:order val="1"/>
          <c:tx>
            <c:v>DEF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Sequencial!$AO$96:$AO$131</c:f>
              <c:strCache/>
            </c:strRef>
          </c:cat>
          <c:val>
            <c:numRef>
              <c:f>Sequencial!$AQ$96:$AQ$131</c:f>
              <c:numCache/>
            </c:numRef>
          </c:val>
        </c:ser>
        <c:ser>
          <c:idx val="1"/>
          <c:order val="2"/>
          <c:tx>
            <c:v>RET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Sequencial!$AO$96:$AO$131</c:f>
              <c:strCache/>
            </c:strRef>
          </c:cat>
          <c:val>
            <c:numRef>
              <c:f>Sequencial!$AR$96:$AR$131</c:f>
              <c:numCache/>
            </c:numRef>
          </c:val>
        </c:ser>
        <c:ser>
          <c:idx val="4"/>
          <c:order val="3"/>
          <c:tx>
            <c:v>REP</c:v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Sequencial!$AO$96:$AO$131</c:f>
              <c:strCache/>
            </c:strRef>
          </c:cat>
          <c:val>
            <c:numRef>
              <c:f>Sequencial!$AS$96:$AS$131</c:f>
              <c:numCache/>
            </c:numRef>
          </c:val>
        </c:ser>
        <c:overlap val="100"/>
        <c:gapWidth val="0"/>
        <c:axId val="23949946"/>
        <c:axId val="14222923"/>
      </c:barChart>
      <c:catAx>
        <c:axId val="239499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923"/>
        <c:crossesAt val="0"/>
        <c:auto val="0"/>
        <c:lblOffset val="100"/>
        <c:tickLblSkip val="2"/>
        <c:noMultiLvlLbl val="0"/>
      </c:catAx>
      <c:valAx>
        <c:axId val="14222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0625"/>
          <c:w val="0.361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Extrato do Balanço Hídrico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75"/>
          <c:w val="0.961"/>
          <c:h val="0.8275"/>
        </c:manualLayout>
      </c:layout>
      <c:areaChart>
        <c:grouping val="stacked"/>
        <c:varyColors val="0"/>
        <c:ser>
          <c:idx val="0"/>
          <c:order val="0"/>
          <c:tx>
            <c:v>DEF(-1)</c:v>
          </c:tx>
          <c:spPr>
            <a:pattFill prst="pct20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'Cultura &amp; Prod. Real'!$AJ$22:$AJ$94</c:f>
              <c:strCache/>
            </c:strRef>
          </c:cat>
          <c:val>
            <c:numRef>
              <c:f>'Cultura &amp; Prod. Real'!$AK$22:$AK$94</c:f>
              <c:numCache/>
            </c:numRef>
          </c:val>
        </c:ser>
        <c:ser>
          <c:idx val="1"/>
          <c:order val="1"/>
          <c:tx>
            <c:v>EXC</c:v>
          </c:tx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'Cultura &amp; Prod. Real'!$AJ$22:$AJ$94</c:f>
              <c:strCache/>
            </c:strRef>
          </c:cat>
          <c:val>
            <c:numRef>
              <c:f>'Cultura &amp; Prod. Real'!$AL$22:$AL$94</c:f>
              <c:numCache/>
            </c:numRef>
          </c:val>
        </c:ser>
        <c:axId val="60897444"/>
        <c:axId val="11206085"/>
      </c:areaChart>
      <c:catAx>
        <c:axId val="60897444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06085"/>
        <c:crosses val="autoZero"/>
        <c:auto val="0"/>
        <c:lblOffset val="100"/>
        <c:tickLblSkip val="3"/>
        <c:noMultiLvlLbl val="0"/>
      </c:catAx>
      <c:valAx>
        <c:axId val="11206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74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75"/>
          <c:y val="0.93575"/>
          <c:w val="0.153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Balanço Hídrico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6425"/>
          <c:w val="0.97775"/>
          <c:h val="0.855"/>
        </c:manualLayout>
      </c:layout>
      <c:lineChart>
        <c:grouping val="standard"/>
        <c:varyColors val="0"/>
        <c:ser>
          <c:idx val="0"/>
          <c:order val="0"/>
          <c:tx>
            <c:v>Precipitação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'Cultura &amp; Prod. Real'!$AZ$22:$AZ$94</c:f>
              <c:strCache/>
            </c:strRef>
          </c:cat>
          <c:val>
            <c:numRef>
              <c:f>'Cultura &amp; Prod. Real'!$BA$22:$BA$94</c:f>
              <c:numCache/>
            </c:numRef>
          </c:val>
          <c:smooth val="0"/>
        </c:ser>
        <c:ser>
          <c:idx val="1"/>
          <c:order val="1"/>
          <c:tx>
            <c:strRef>
              <c:f>'Cultura &amp; Prod. Real'!$BB$20</c:f>
              <c:strCache>
                <c:ptCount val="1"/>
                <c:pt idx="0">
                  <c:v>ETc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'Cultura &amp; Prod. Real'!$AZ$22:$AZ$94</c:f>
              <c:strCache/>
            </c:strRef>
          </c:cat>
          <c:val>
            <c:numRef>
              <c:f>'Cultura &amp; Prod. Real'!$BB$22:$BB$94</c:f>
              <c:numCache/>
            </c:numRef>
          </c:val>
          <c:smooth val="0"/>
        </c:ser>
        <c:ser>
          <c:idx val="2"/>
          <c:order val="2"/>
          <c:tx>
            <c:v>ETR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'Cultura &amp; Prod. Real'!$AZ$22:$AZ$94</c:f>
              <c:strCache/>
            </c:strRef>
          </c:cat>
          <c:val>
            <c:numRef>
              <c:f>'Cultura &amp; Prod. Real'!$BC$22:$BC$94</c:f>
              <c:numCache/>
            </c:numRef>
          </c:val>
          <c:smooth val="0"/>
        </c:ser>
        <c:marker val="1"/>
        <c:axId val="33745902"/>
        <c:axId val="35277663"/>
      </c:lineChart>
      <c:catAx>
        <c:axId val="3374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Decêndios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7663"/>
        <c:crosses val="autoZero"/>
        <c:auto val="0"/>
        <c:lblOffset val="100"/>
        <c:tickLblSkip val="2"/>
        <c:noMultiLvlLbl val="0"/>
      </c:catAx>
      <c:valAx>
        <c:axId val="35277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33745902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25"/>
          <c:y val="0.9175"/>
          <c:w val="0.351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Capacidade de Água disponível (CAD) e Armazenamento (ARM) mensal 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59"/>
          <c:w val="0.96975"/>
          <c:h val="0.77225"/>
        </c:manualLayout>
      </c:layout>
      <c:lineChart>
        <c:grouping val="standard"/>
        <c:varyColors val="0"/>
        <c:ser>
          <c:idx val="0"/>
          <c:order val="0"/>
          <c:tx>
            <c:v>CAD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'Cultura &amp; Prod. Real'!$BP$22:$BP$94</c:f>
              <c:strCache/>
            </c:strRef>
          </c:cat>
          <c:val>
            <c:numRef>
              <c:f>'Cultura &amp; Prod. Real'!$BQ$22:$BQ$94</c:f>
              <c:numCache/>
            </c:numRef>
          </c:val>
          <c:smooth val="0"/>
        </c:ser>
        <c:ser>
          <c:idx val="1"/>
          <c:order val="1"/>
          <c:tx>
            <c:v>ARM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'Cultura &amp; Prod. Real'!$BP$22:$BP$94</c:f>
              <c:strCache/>
            </c:strRef>
          </c:cat>
          <c:val>
            <c:numRef>
              <c:f>'Cultura &amp; Prod. Real'!$BR$22:$BR$94</c:f>
              <c:numCache/>
            </c:numRef>
          </c:val>
          <c:smooth val="0"/>
        </c:ser>
        <c:marker val="1"/>
        <c:axId val="49063512"/>
        <c:axId val="38918425"/>
      </c:lineChart>
      <c:catAx>
        <c:axId val="49063512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425"/>
        <c:crosses val="autoZero"/>
        <c:auto val="0"/>
        <c:lblOffset val="100"/>
        <c:tickLblSkip val="3"/>
        <c:noMultiLvlLbl val="0"/>
      </c:catAx>
      <c:valAx>
        <c:axId val="38918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35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"/>
          <c:y val="0.933"/>
          <c:w val="0.171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Evapotranspiração Potencial 
e de Cultura 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705"/>
          <c:w val="0.9725"/>
          <c:h val="0.75775"/>
        </c:manualLayout>
      </c:layout>
      <c:lineChart>
        <c:grouping val="standard"/>
        <c:varyColors val="0"/>
        <c:ser>
          <c:idx val="0"/>
          <c:order val="0"/>
          <c:tx>
            <c:v>ETP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'Cultura &amp; Prod. Real'!$CD$22:$CD$94</c:f>
              <c:strCache/>
            </c:strRef>
          </c:cat>
          <c:val>
            <c:numRef>
              <c:f>'Cultura &amp; Prod. Real'!$CE$22:$CE$94</c:f>
              <c:numCache/>
            </c:numRef>
          </c:val>
          <c:smooth val="0"/>
        </c:ser>
        <c:ser>
          <c:idx val="1"/>
          <c:order val="1"/>
          <c:tx>
            <c:v>ETC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'Cultura &amp; Prod. Real'!$CD$22:$CD$94</c:f>
              <c:strCache/>
            </c:strRef>
          </c:cat>
          <c:val>
            <c:numRef>
              <c:f>'Cultura &amp; Prod. Real'!$CF$22:$CF$94</c:f>
              <c:numCache/>
            </c:numRef>
          </c:val>
          <c:smooth val="0"/>
        </c:ser>
        <c:marker val="1"/>
        <c:axId val="14721506"/>
        <c:axId val="65384691"/>
      </c:lineChart>
      <c:catAx>
        <c:axId val="1472150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4691"/>
        <c:crosses val="autoZero"/>
        <c:auto val="0"/>
        <c:lblOffset val="100"/>
        <c:tickLblSkip val="3"/>
        <c:noMultiLvlLbl val="0"/>
      </c:catAx>
      <c:valAx>
        <c:axId val="6538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15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4"/>
          <c:y val="0.93325"/>
          <c:w val="0.17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Deficiência, Excedente, Retirada e Reposição Hídrica 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6"/>
          <c:w val="0.9465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tx>
            <c:v>Deficiência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'Cultura &amp; Prod. Real'!$CD$22:$CD$94</c:f>
              <c:strCache/>
            </c:strRef>
          </c:cat>
          <c:val>
            <c:numRef>
              <c:f>'Cultura &amp; Prod. Real'!$CT$22:$CT$94</c:f>
              <c:numCache/>
            </c:numRef>
          </c:val>
        </c:ser>
        <c:ser>
          <c:idx val="2"/>
          <c:order val="1"/>
          <c:tx>
            <c:v>Excedente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'Cultura &amp; Prod. Real'!$CD$22:$CD$94</c:f>
              <c:strCache/>
            </c:strRef>
          </c:cat>
          <c:val>
            <c:numRef>
              <c:f>'Cultura &amp; Prod. Real'!$CS$22:$CS$94</c:f>
              <c:numCache/>
            </c:numRef>
          </c:val>
        </c:ser>
        <c:ser>
          <c:idx val="3"/>
          <c:order val="2"/>
          <c:tx>
            <c:v>Retirada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'Cultura &amp; Prod. Real'!$CD$22:$CD$94</c:f>
              <c:strCache/>
            </c:strRef>
          </c:cat>
          <c:val>
            <c:numRef>
              <c:f>'Cultura &amp; Prod. Real'!$CU$22:$CU$94</c:f>
              <c:numCache/>
            </c:numRef>
          </c:val>
        </c:ser>
        <c:ser>
          <c:idx val="1"/>
          <c:order val="3"/>
          <c:tx>
            <c:v>Reposição</c:v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'Cultura &amp; Prod. Real'!$CD$22:$CD$94</c:f>
              <c:strCache/>
            </c:strRef>
          </c:cat>
          <c:val>
            <c:numRef>
              <c:f>'Cultura &amp; Prod. Real'!$CV$22:$CV$94</c:f>
              <c:numCache/>
            </c:numRef>
          </c:val>
        </c:ser>
        <c:overlap val="100"/>
        <c:gapWidth val="0"/>
        <c:axId val="51591308"/>
        <c:axId val="61668589"/>
      </c:barChart>
      <c:catAx>
        <c:axId val="515913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68589"/>
        <c:crossesAt val="0"/>
        <c:auto val="0"/>
        <c:lblOffset val="100"/>
        <c:tickLblSkip val="3"/>
        <c:noMultiLvlLbl val="0"/>
      </c:catAx>
      <c:valAx>
        <c:axId val="6166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91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25"/>
          <c:y val="0.9145"/>
          <c:w val="0.46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Extrato do Balanço Hídrico Mensal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3"/>
          <c:w val="0.949"/>
          <c:h val="0.7815"/>
        </c:manualLayout>
      </c:layout>
      <c:areaChart>
        <c:grouping val="stacked"/>
        <c:varyColors val="0"/>
        <c:ser>
          <c:idx val="0"/>
          <c:order val="0"/>
          <c:tx>
            <c:strRef>
              <c:f>'Normal Mensal'!$C$55</c:f>
              <c:strCache>
                <c:ptCount val="1"/>
                <c:pt idx="0">
                  <c:v>DEF(-1)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'Normal Mensal'!$B$56:$B$67</c:f>
              <c:strCache/>
            </c:strRef>
          </c:cat>
          <c:val>
            <c:numRef>
              <c:f>'Normal Mensal'!$C$56:$C$67</c:f>
              <c:numCache/>
            </c:numRef>
          </c:val>
        </c:ser>
        <c:ser>
          <c:idx val="1"/>
          <c:order val="1"/>
          <c:tx>
            <c:strRef>
              <c:f>'Normal Mensal'!$D$55</c:f>
              <c:strCache>
                <c:ptCount val="1"/>
                <c:pt idx="0">
                  <c:v>EXC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'Normal Mensal'!$B$56:$B$67</c:f>
              <c:strCache/>
            </c:strRef>
          </c:cat>
          <c:val>
            <c:numRef>
              <c:f>'Normal Mensal'!$D$56:$D$67</c:f>
              <c:numCache/>
            </c:numRef>
          </c:val>
        </c:ser>
        <c:axId val="58270956"/>
        <c:axId val="54676557"/>
      </c:areaChart>
      <c:catAx>
        <c:axId val="5827095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6557"/>
        <c:crosses val="autoZero"/>
        <c:auto val="0"/>
        <c:lblOffset val="100"/>
        <c:tickLblSkip val="1"/>
        <c:noMultiLvlLbl val="0"/>
      </c:catAx>
      <c:valAx>
        <c:axId val="5467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09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075"/>
          <c:y val="0.93075"/>
          <c:w val="0.224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Capacidade de Armazenamento (CAD),
 Armazenamento (ARM) mensal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8775"/>
          <c:w val="0.988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'Normal Mensal'!$C$104</c:f>
              <c:strCache>
                <c:ptCount val="1"/>
                <c:pt idx="0">
                  <c:v>CAD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'Normal Mensal'!$B$105:$B$116</c:f>
              <c:strCache/>
            </c:strRef>
          </c:cat>
          <c:val>
            <c:numRef>
              <c:f>'Normal Mensal'!$C$105:$C$116</c:f>
              <c:numCache/>
            </c:numRef>
          </c:val>
          <c:smooth val="0"/>
        </c:ser>
        <c:ser>
          <c:idx val="1"/>
          <c:order val="1"/>
          <c:tx>
            <c:strRef>
              <c:f>'Normal Mensal'!$D$104</c:f>
              <c:strCache>
                <c:ptCount val="1"/>
                <c:pt idx="0">
                  <c:v>ARM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'Normal Mensal'!$B$105:$B$116</c:f>
              <c:strCache/>
            </c:strRef>
          </c:cat>
          <c:val>
            <c:numRef>
              <c:f>'Normal Mensal'!$D$105:$D$116</c:f>
              <c:numCache/>
            </c:numRef>
          </c:val>
          <c:smooth val="0"/>
        </c:ser>
        <c:marker val="1"/>
        <c:axId val="22326966"/>
        <c:axId val="66724967"/>
      </c:lineChart>
      <c:catAx>
        <c:axId val="2232696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4967"/>
        <c:crosses val="autoZero"/>
        <c:auto val="0"/>
        <c:lblOffset val="100"/>
        <c:tickLblSkip val="1"/>
        <c:noMultiLvlLbl val="0"/>
      </c:catAx>
      <c:valAx>
        <c:axId val="6672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69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675"/>
          <c:y val="0.93075"/>
          <c:w val="0.247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Extrato do Balanço Hídrico Mensal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085"/>
          <c:w val="0.88225"/>
          <c:h val="0.81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'Normal Mensal'!$B$56:$B$67</c:f>
              <c:strCache/>
            </c:strRef>
          </c:cat>
          <c:val>
            <c:numRef>
              <c:f>'Normal Mensal'!$E$56:$E$67</c:f>
              <c:numCache/>
            </c:numRef>
          </c:val>
          <c:smooth val="0"/>
        </c:ser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3217"/>
        <c:crosses val="autoZero"/>
        <c:auto val="0"/>
        <c:lblOffset val="100"/>
        <c:tickLblSkip val="1"/>
        <c:noMultiLvlLbl val="0"/>
      </c:catAx>
      <c:valAx>
        <c:axId val="3601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
DEF                                          EXC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53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Deficiência, Excedente, Retirada e Reposição Hídrica ao longo do ano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4975"/>
          <c:w val="0.92175"/>
          <c:h val="0.72825"/>
        </c:manualLayout>
      </c:layout>
      <c:barChart>
        <c:barDir val="col"/>
        <c:grouping val="stacked"/>
        <c:varyColors val="0"/>
        <c:ser>
          <c:idx val="0"/>
          <c:order val="0"/>
          <c:tx>
            <c:v>Deficiência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Mensal'!$B$128:$B$139</c:f>
              <c:strCache/>
            </c:strRef>
          </c:cat>
          <c:val>
            <c:numRef>
              <c:f>'Normal Mensal'!$D$128:$D$139</c:f>
              <c:numCache/>
            </c:numRef>
          </c:val>
        </c:ser>
        <c:ser>
          <c:idx val="2"/>
          <c:order val="1"/>
          <c:tx>
            <c:v>Excedente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Mensal'!$B$128:$B$139</c:f>
              <c:strCache/>
            </c:strRef>
          </c:cat>
          <c:val>
            <c:numRef>
              <c:f>'Normal Mensal'!$C$128:$C$139</c:f>
              <c:numCache/>
            </c:numRef>
          </c:val>
        </c:ser>
        <c:ser>
          <c:idx val="3"/>
          <c:order val="2"/>
          <c:tx>
            <c:v>Retirada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Mensal'!$B$128:$B$139</c:f>
              <c:strCache/>
            </c:strRef>
          </c:cat>
          <c:val>
            <c:numRef>
              <c:f>'Normal Mensal'!$E$128:$E$139</c:f>
              <c:numCache/>
            </c:numRef>
          </c:val>
        </c:ser>
        <c:ser>
          <c:idx val="1"/>
          <c:order val="3"/>
          <c:tx>
            <c:v>Reposição</c:v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Mensal'!$B$128:$B$139</c:f>
              <c:strCache/>
            </c:strRef>
          </c:cat>
          <c:val>
            <c:numRef>
              <c:f>'Normal Mensal'!$F$128:$F$139</c:f>
              <c:numCache/>
            </c:numRef>
          </c:val>
        </c:ser>
        <c:overlap val="100"/>
        <c:gapWidth val="0"/>
        <c:axId val="55683498"/>
        <c:axId val="31389435"/>
      </c:barChart>
      <c:catAx>
        <c:axId val="556834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9435"/>
        <c:crossesAt val="0"/>
        <c:auto val="0"/>
        <c:lblOffset val="100"/>
        <c:tickLblSkip val="1"/>
        <c:noMultiLvlLbl val="0"/>
      </c:catAx>
      <c:valAx>
        <c:axId val="31389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3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5"/>
          <c:y val="0.9075"/>
          <c:w val="0.688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Extrato do Balanço Hídrico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225"/>
          <c:w val="0.9655"/>
          <c:h val="0.814"/>
        </c:manualLayout>
      </c:layout>
      <c:areaChart>
        <c:grouping val="stacked"/>
        <c:varyColors val="0"/>
        <c:ser>
          <c:idx val="0"/>
          <c:order val="0"/>
          <c:tx>
            <c:strRef>
              <c:f>'Normal Decendial'!$AA$18</c:f>
              <c:strCache>
                <c:ptCount val="1"/>
                <c:pt idx="0">
                  <c:v>DEF(-1)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'Normal Decendial'!$Z$19:$Z$54</c:f>
              <c:strCache/>
            </c:strRef>
          </c:cat>
          <c:val>
            <c:numRef>
              <c:f>'Normal Decendial'!$AA$19:$AA$54</c:f>
              <c:numCache/>
            </c:numRef>
          </c:val>
        </c:ser>
        <c:ser>
          <c:idx val="1"/>
          <c:order val="1"/>
          <c:tx>
            <c:strRef>
              <c:f>'Normal Decendial'!$AB$18</c:f>
              <c:strCache>
                <c:ptCount val="1"/>
                <c:pt idx="0">
                  <c:v>EXC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'Normal Decendial'!$Z$19:$Z$54</c:f>
              <c:strCache/>
            </c:strRef>
          </c:cat>
          <c:val>
            <c:numRef>
              <c:f>'Normal Decendial'!$AB$19:$AB$54</c:f>
              <c:numCache/>
            </c:numRef>
          </c:val>
        </c:ser>
        <c:axId val="14069460"/>
        <c:axId val="59516277"/>
      </c:areaChart>
      <c:catAx>
        <c:axId val="14069460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6277"/>
        <c:crosses val="autoZero"/>
        <c:auto val="0"/>
        <c:lblOffset val="100"/>
        <c:tickLblSkip val="1"/>
        <c:noMultiLvlLbl val="0"/>
      </c:catAx>
      <c:valAx>
        <c:axId val="59516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94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325"/>
          <c:y val="0.93275"/>
          <c:w val="0.136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Balanço Hídrico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075"/>
          <c:w val="0.97925"/>
          <c:h val="0.842"/>
        </c:manualLayout>
      </c:layout>
      <c:lineChart>
        <c:grouping val="standard"/>
        <c:varyColors val="0"/>
        <c:ser>
          <c:idx val="0"/>
          <c:order val="0"/>
          <c:tx>
            <c:v>PRECIPITAÇÃO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'Normal Decendial'!$Z$62:$Z$97</c:f>
              <c:strCache/>
            </c:strRef>
          </c:cat>
          <c:val>
            <c:numRef>
              <c:f>'Normal Decendial'!$AA$62:$AA$97</c:f>
              <c:numCache/>
            </c:numRef>
          </c:val>
          <c:smooth val="0"/>
        </c:ser>
        <c:ser>
          <c:idx val="1"/>
          <c:order val="1"/>
          <c:tx>
            <c:strRef>
              <c:f>'Normal Decendial'!$AB$61</c:f>
              <c:strCache>
                <c:ptCount val="1"/>
                <c:pt idx="0">
                  <c:v>ETP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'Normal Decendial'!$Z$62:$Z$97</c:f>
              <c:strCache/>
            </c:strRef>
          </c:cat>
          <c:val>
            <c:numRef>
              <c:f>'Normal Decendial'!$AB$62:$AB$97</c:f>
              <c:numCache/>
            </c:numRef>
          </c:val>
          <c:smooth val="0"/>
        </c:ser>
        <c:ser>
          <c:idx val="2"/>
          <c:order val="2"/>
          <c:tx>
            <c:strRef>
              <c:f>'Normal Decendial'!$AC$61</c:f>
              <c:strCache>
                <c:ptCount val="1"/>
                <c:pt idx="0">
                  <c:v>ETR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'Normal Decendial'!$Z$62:$Z$97</c:f>
              <c:strCache/>
            </c:strRef>
          </c:cat>
          <c:val>
            <c:numRef>
              <c:f>'Normal Decendial'!$AC$62:$AC$97</c:f>
              <c:numCache/>
            </c:numRef>
          </c:val>
          <c:smooth val="0"/>
        </c:ser>
        <c:marker val="1"/>
        <c:axId val="65884446"/>
        <c:axId val="56089103"/>
      </c:lineChart>
      <c:catAx>
        <c:axId val="6588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Decêndios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auto val="0"/>
        <c:lblOffset val="100"/>
        <c:tickLblSkip val="1"/>
        <c:noMultiLvlLbl val="0"/>
      </c:catAx>
      <c:valAx>
        <c:axId val="5608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65884446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5"/>
          <c:y val="0.93775"/>
          <c:w val="0.33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Capacidade de Água disponível (CAD) e Armazenamento (ARM) mensal 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4"/>
          <c:w val="0.984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'Normal Decendial'!$AA$101</c:f>
              <c:strCache>
                <c:ptCount val="1"/>
                <c:pt idx="0">
                  <c:v>CAD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'Normal Decendial'!$Z$102:$Z$137</c:f>
              <c:strCache/>
            </c:strRef>
          </c:cat>
          <c:val>
            <c:numRef>
              <c:f>'Normal Decendial'!$AA$102:$AA$137</c:f>
              <c:numCache/>
            </c:numRef>
          </c:val>
          <c:smooth val="0"/>
        </c:ser>
        <c:ser>
          <c:idx val="1"/>
          <c:order val="1"/>
          <c:tx>
            <c:strRef>
              <c:f>'Normal Decendial'!$AB$101</c:f>
              <c:strCache>
                <c:ptCount val="1"/>
                <c:pt idx="0">
                  <c:v>ARM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'Normal Decendial'!$Z$102:$Z$137</c:f>
              <c:strCache/>
            </c:strRef>
          </c:cat>
          <c:val>
            <c:numRef>
              <c:f>'Normal Decendial'!$AB$102:$AB$137</c:f>
              <c:numCache/>
            </c:numRef>
          </c:val>
          <c:smooth val="0"/>
        </c:ser>
        <c:marker val="1"/>
        <c:axId val="35039880"/>
        <c:axId val="46923465"/>
      </c:lineChart>
      <c:catAx>
        <c:axId val="35039880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3465"/>
        <c:crosses val="autoZero"/>
        <c:auto val="0"/>
        <c:lblOffset val="100"/>
        <c:tickLblSkip val="1"/>
        <c:noMultiLvlLbl val="0"/>
      </c:catAx>
      <c:valAx>
        <c:axId val="46923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98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5"/>
          <c:y val="0.93575"/>
          <c:w val="0.156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Deficiência, Excedente, Retirada e Reposição Hídrica ao longo do ano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8925"/>
          <c:w val="0.949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v>Deficiência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Decendial'!$CK$62:$CK$97</c:f>
              <c:strCache/>
            </c:strRef>
          </c:cat>
          <c:val>
            <c:numRef>
              <c:f>'Normal Decendial'!$CM$62:$CM$97</c:f>
              <c:numCache/>
            </c:numRef>
          </c:val>
        </c:ser>
        <c:ser>
          <c:idx val="2"/>
          <c:order val="1"/>
          <c:tx>
            <c:v>Excedente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Decendial'!$CK$62:$CK$97</c:f>
              <c:strCache/>
            </c:strRef>
          </c:cat>
          <c:val>
            <c:numRef>
              <c:f>'Normal Decendial'!$CL$62:$CL$97</c:f>
              <c:numCache/>
            </c:numRef>
          </c:val>
        </c:ser>
        <c:ser>
          <c:idx val="3"/>
          <c:order val="2"/>
          <c:tx>
            <c:v>Retirada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Decendial'!$CK$62:$CK$97</c:f>
              <c:strCache/>
            </c:strRef>
          </c:cat>
          <c:val>
            <c:numRef>
              <c:f>'Normal Decendial'!$CN$62:$CN$97</c:f>
              <c:numCache/>
            </c:numRef>
          </c:val>
        </c:ser>
        <c:ser>
          <c:idx val="1"/>
          <c:order val="3"/>
          <c:tx>
            <c:v>Reposição</c:v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Decendial'!$CK$62:$CK$97</c:f>
              <c:strCache/>
            </c:strRef>
          </c:cat>
          <c:val>
            <c:numRef>
              <c:f>'Normal Decendial'!$CO$62:$CO$97</c:f>
              <c:numCache/>
            </c:numRef>
          </c:val>
        </c:ser>
        <c:overlap val="100"/>
        <c:gapWidth val="0"/>
        <c:axId val="19658002"/>
        <c:axId val="42704291"/>
      </c:barChart>
      <c:catAx>
        <c:axId val="1965800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4291"/>
        <c:crossesAt val="0"/>
        <c:auto val="0"/>
        <c:lblOffset val="100"/>
        <c:tickLblSkip val="1"/>
        <c:noMultiLvlLbl val="0"/>
      </c:catAx>
      <c:valAx>
        <c:axId val="42704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8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275"/>
          <c:y val="0.91075"/>
          <c:w val="0.408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77</xdr:row>
      <xdr:rowOff>114300</xdr:rowOff>
    </xdr:from>
    <xdr:to>
      <xdr:col>12</xdr:col>
      <xdr:colOff>247650</xdr:colOff>
      <xdr:row>99</xdr:row>
      <xdr:rowOff>38100</xdr:rowOff>
    </xdr:to>
    <xdr:graphicFrame>
      <xdr:nvGraphicFramePr>
        <xdr:cNvPr id="1" name="Gráfico 2"/>
        <xdr:cNvGraphicFramePr/>
      </xdr:nvGraphicFramePr>
      <xdr:xfrm>
        <a:off x="2695575" y="13154025"/>
        <a:ext cx="5524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285750</xdr:colOff>
      <xdr:row>52</xdr:row>
      <xdr:rowOff>142875</xdr:rowOff>
    </xdr:from>
    <xdr:to>
      <xdr:col>12</xdr:col>
      <xdr:colOff>295275</xdr:colOff>
      <xdr:row>74</xdr:row>
      <xdr:rowOff>9525</xdr:rowOff>
    </xdr:to>
    <xdr:graphicFrame>
      <xdr:nvGraphicFramePr>
        <xdr:cNvPr id="2" name="Gráfico 3"/>
        <xdr:cNvGraphicFramePr/>
      </xdr:nvGraphicFramePr>
      <xdr:xfrm>
        <a:off x="2743200" y="9039225"/>
        <a:ext cx="55245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5</xdr:col>
      <xdr:colOff>200025</xdr:colOff>
      <xdr:row>101</xdr:row>
      <xdr:rowOff>47625</xdr:rowOff>
    </xdr:from>
    <xdr:to>
      <xdr:col>12</xdr:col>
      <xdr:colOff>209550</xdr:colOff>
      <xdr:row>122</xdr:row>
      <xdr:rowOff>133350</xdr:rowOff>
    </xdr:to>
    <xdr:graphicFrame>
      <xdr:nvGraphicFramePr>
        <xdr:cNvPr id="3" name="Gráfico 4"/>
        <xdr:cNvGraphicFramePr/>
      </xdr:nvGraphicFramePr>
      <xdr:xfrm>
        <a:off x="2657475" y="17002125"/>
        <a:ext cx="552450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13</xdr:col>
      <xdr:colOff>314325</xdr:colOff>
      <xdr:row>52</xdr:row>
      <xdr:rowOff>123825</xdr:rowOff>
    </xdr:from>
    <xdr:to>
      <xdr:col>23</xdr:col>
      <xdr:colOff>285750</xdr:colOff>
      <xdr:row>73</xdr:row>
      <xdr:rowOff>142875</xdr:rowOff>
    </xdr:to>
    <xdr:graphicFrame>
      <xdr:nvGraphicFramePr>
        <xdr:cNvPr id="4" name="Gráfico 5"/>
        <xdr:cNvGraphicFramePr/>
      </xdr:nvGraphicFramePr>
      <xdr:xfrm>
        <a:off x="9010650" y="9020175"/>
        <a:ext cx="506730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12</xdr:col>
      <xdr:colOff>619125</xdr:colOff>
      <xdr:row>77</xdr:row>
      <xdr:rowOff>114300</xdr:rowOff>
    </xdr:from>
    <xdr:to>
      <xdr:col>23</xdr:col>
      <xdr:colOff>238125</xdr:colOff>
      <xdr:row>99</xdr:row>
      <xdr:rowOff>9525</xdr:rowOff>
    </xdr:to>
    <xdr:graphicFrame>
      <xdr:nvGraphicFramePr>
        <xdr:cNvPr id="5" name="Gráfico 6"/>
        <xdr:cNvGraphicFramePr/>
      </xdr:nvGraphicFramePr>
      <xdr:xfrm>
        <a:off x="8591550" y="13154025"/>
        <a:ext cx="54387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16</xdr:row>
      <xdr:rowOff>28575</xdr:rowOff>
    </xdr:from>
    <xdr:to>
      <xdr:col>85</xdr:col>
      <xdr:colOff>371475</xdr:colOff>
      <xdr:row>37</xdr:row>
      <xdr:rowOff>142875</xdr:rowOff>
    </xdr:to>
    <xdr:graphicFrame>
      <xdr:nvGraphicFramePr>
        <xdr:cNvPr id="1" name="Gráfico 1"/>
        <xdr:cNvGraphicFramePr/>
      </xdr:nvGraphicFramePr>
      <xdr:xfrm>
        <a:off x="15754350" y="2828925"/>
        <a:ext cx="9020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30</xdr:col>
      <xdr:colOff>28575</xdr:colOff>
      <xdr:row>60</xdr:row>
      <xdr:rowOff>28575</xdr:rowOff>
    </xdr:from>
    <xdr:to>
      <xdr:col>86</xdr:col>
      <xdr:colOff>38100</xdr:colOff>
      <xdr:row>84</xdr:row>
      <xdr:rowOff>47625</xdr:rowOff>
    </xdr:to>
    <xdr:graphicFrame>
      <xdr:nvGraphicFramePr>
        <xdr:cNvPr id="2" name="Gráfico 2"/>
        <xdr:cNvGraphicFramePr/>
      </xdr:nvGraphicFramePr>
      <xdr:xfrm>
        <a:off x="16173450" y="10134600"/>
        <a:ext cx="86963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29</xdr:col>
      <xdr:colOff>390525</xdr:colOff>
      <xdr:row>99</xdr:row>
      <xdr:rowOff>0</xdr:rowOff>
    </xdr:from>
    <xdr:to>
      <xdr:col>86</xdr:col>
      <xdr:colOff>76200</xdr:colOff>
      <xdr:row>122</xdr:row>
      <xdr:rowOff>28575</xdr:rowOff>
    </xdr:to>
    <xdr:graphicFrame>
      <xdr:nvGraphicFramePr>
        <xdr:cNvPr id="3" name="Gráfico 3"/>
        <xdr:cNvGraphicFramePr/>
      </xdr:nvGraphicFramePr>
      <xdr:xfrm>
        <a:off x="16116300" y="16478250"/>
        <a:ext cx="879157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94</xdr:col>
      <xdr:colOff>9525</xdr:colOff>
      <xdr:row>60</xdr:row>
      <xdr:rowOff>0</xdr:rowOff>
    </xdr:from>
    <xdr:to>
      <xdr:col>105</xdr:col>
      <xdr:colOff>733425</xdr:colOff>
      <xdr:row>82</xdr:row>
      <xdr:rowOff>142875</xdr:rowOff>
    </xdr:to>
    <xdr:graphicFrame>
      <xdr:nvGraphicFramePr>
        <xdr:cNvPr id="4" name="Gráfico 10"/>
        <xdr:cNvGraphicFramePr/>
      </xdr:nvGraphicFramePr>
      <xdr:xfrm>
        <a:off x="28517850" y="10106025"/>
        <a:ext cx="91059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17</xdr:row>
      <xdr:rowOff>28575</xdr:rowOff>
    </xdr:from>
    <xdr:to>
      <xdr:col>37</xdr:col>
      <xdr:colOff>419100</xdr:colOff>
      <xdr:row>40</xdr:row>
      <xdr:rowOff>0</xdr:rowOff>
    </xdr:to>
    <xdr:graphicFrame>
      <xdr:nvGraphicFramePr>
        <xdr:cNvPr id="1" name="Gráfico 3"/>
        <xdr:cNvGraphicFramePr/>
      </xdr:nvGraphicFramePr>
      <xdr:xfrm>
        <a:off x="18688050" y="2962275"/>
        <a:ext cx="5124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228600</xdr:colOff>
      <xdr:row>17</xdr:row>
      <xdr:rowOff>47625</xdr:rowOff>
    </xdr:from>
    <xdr:to>
      <xdr:col>52</xdr:col>
      <xdr:colOff>561975</xdr:colOff>
      <xdr:row>40</xdr:row>
      <xdr:rowOff>85725</xdr:rowOff>
    </xdr:to>
    <xdr:graphicFrame>
      <xdr:nvGraphicFramePr>
        <xdr:cNvPr id="2" name="Gráfico 4"/>
        <xdr:cNvGraphicFramePr/>
      </xdr:nvGraphicFramePr>
      <xdr:xfrm>
        <a:off x="28689300" y="2981325"/>
        <a:ext cx="60674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56</xdr:col>
      <xdr:colOff>266700</xdr:colOff>
      <xdr:row>17</xdr:row>
      <xdr:rowOff>66675</xdr:rowOff>
    </xdr:from>
    <xdr:to>
      <xdr:col>62</xdr:col>
      <xdr:colOff>561975</xdr:colOff>
      <xdr:row>40</xdr:row>
      <xdr:rowOff>85725</xdr:rowOff>
    </xdr:to>
    <xdr:graphicFrame>
      <xdr:nvGraphicFramePr>
        <xdr:cNvPr id="3" name="Gráfico 5"/>
        <xdr:cNvGraphicFramePr/>
      </xdr:nvGraphicFramePr>
      <xdr:xfrm>
        <a:off x="37509450" y="3000375"/>
        <a:ext cx="48672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44</xdr:col>
      <xdr:colOff>238125</xdr:colOff>
      <xdr:row>41</xdr:row>
      <xdr:rowOff>66675</xdr:rowOff>
    </xdr:from>
    <xdr:to>
      <xdr:col>52</xdr:col>
      <xdr:colOff>600075</xdr:colOff>
      <xdr:row>64</xdr:row>
      <xdr:rowOff>85725</xdr:rowOff>
    </xdr:to>
    <xdr:graphicFrame>
      <xdr:nvGraphicFramePr>
        <xdr:cNvPr id="4" name="Gráfico 8"/>
        <xdr:cNvGraphicFramePr/>
      </xdr:nvGraphicFramePr>
      <xdr:xfrm>
        <a:off x="28698825" y="6924675"/>
        <a:ext cx="609600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20</xdr:row>
      <xdr:rowOff>28575</xdr:rowOff>
    </xdr:from>
    <xdr:to>
      <xdr:col>50</xdr:col>
      <xdr:colOff>257175</xdr:colOff>
      <xdr:row>43</xdr:row>
      <xdr:rowOff>57150</xdr:rowOff>
    </xdr:to>
    <xdr:graphicFrame>
      <xdr:nvGraphicFramePr>
        <xdr:cNvPr id="1" name="Gráfico 1"/>
        <xdr:cNvGraphicFramePr/>
      </xdr:nvGraphicFramePr>
      <xdr:xfrm>
        <a:off x="22936200" y="3371850"/>
        <a:ext cx="80105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56</xdr:col>
      <xdr:colOff>190500</xdr:colOff>
      <xdr:row>20</xdr:row>
      <xdr:rowOff>47625</xdr:rowOff>
    </xdr:from>
    <xdr:to>
      <xdr:col>66</xdr:col>
      <xdr:colOff>657225</xdr:colOff>
      <xdr:row>43</xdr:row>
      <xdr:rowOff>66675</xdr:rowOff>
    </xdr:to>
    <xdr:graphicFrame>
      <xdr:nvGraphicFramePr>
        <xdr:cNvPr id="2" name="Gráfico 2"/>
        <xdr:cNvGraphicFramePr/>
      </xdr:nvGraphicFramePr>
      <xdr:xfrm>
        <a:off x="33985200" y="3390900"/>
        <a:ext cx="80867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70</xdr:col>
      <xdr:colOff>266700</xdr:colOff>
      <xdr:row>20</xdr:row>
      <xdr:rowOff>66675</xdr:rowOff>
    </xdr:from>
    <xdr:to>
      <xdr:col>80</xdr:col>
      <xdr:colOff>685800</xdr:colOff>
      <xdr:row>43</xdr:row>
      <xdr:rowOff>85725</xdr:rowOff>
    </xdr:to>
    <xdr:graphicFrame>
      <xdr:nvGraphicFramePr>
        <xdr:cNvPr id="3" name="Gráfico 3"/>
        <xdr:cNvGraphicFramePr/>
      </xdr:nvGraphicFramePr>
      <xdr:xfrm>
        <a:off x="44729400" y="3409950"/>
        <a:ext cx="803910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84</xdr:col>
      <xdr:colOff>266700</xdr:colOff>
      <xdr:row>19</xdr:row>
      <xdr:rowOff>9525</xdr:rowOff>
    </xdr:from>
    <xdr:to>
      <xdr:col>94</xdr:col>
      <xdr:colOff>571500</xdr:colOff>
      <xdr:row>42</xdr:row>
      <xdr:rowOff>19050</xdr:rowOff>
    </xdr:to>
    <xdr:graphicFrame>
      <xdr:nvGraphicFramePr>
        <xdr:cNvPr id="4" name="Gráfico 6"/>
        <xdr:cNvGraphicFramePr/>
      </xdr:nvGraphicFramePr>
      <xdr:xfrm>
        <a:off x="55397400" y="3162300"/>
        <a:ext cx="79248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56</xdr:col>
      <xdr:colOff>152400</xdr:colOff>
      <xdr:row>44</xdr:row>
      <xdr:rowOff>28575</xdr:rowOff>
    </xdr:from>
    <xdr:to>
      <xdr:col>66</xdr:col>
      <xdr:colOff>619125</xdr:colOff>
      <xdr:row>67</xdr:row>
      <xdr:rowOff>66675</xdr:rowOff>
    </xdr:to>
    <xdr:graphicFrame>
      <xdr:nvGraphicFramePr>
        <xdr:cNvPr id="5" name="Gráfico 7"/>
        <xdr:cNvGraphicFramePr/>
      </xdr:nvGraphicFramePr>
      <xdr:xfrm>
        <a:off x="33947100" y="7296150"/>
        <a:ext cx="808672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bhglauco\BHn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HN Decendial"/>
    </sheetNames>
    <sheetDataSet>
      <sheetData sheetId="0">
        <row r="13">
          <cell r="CG1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74"/>
  <sheetViews>
    <sheetView tabSelected="1" zoomScale="75" zoomScaleNormal="75" zoomScalePageLayoutView="0" workbookViewId="0" topLeftCell="A1">
      <selection activeCell="AA31" sqref="AA31"/>
    </sheetView>
  </sheetViews>
  <sheetFormatPr defaultColWidth="11.421875" defaultRowHeight="12.75"/>
  <cols>
    <col min="1" max="1" width="2.28125" style="1" customWidth="1"/>
    <col min="2" max="2" width="11.421875" style="2" customWidth="1"/>
    <col min="3" max="3" width="8.140625" style="1" customWidth="1"/>
    <col min="4" max="4" width="6.8515625" style="1" customWidth="1"/>
    <col min="5" max="5" width="8.140625" style="1" customWidth="1"/>
    <col min="6" max="6" width="13.57421875" style="1" customWidth="1"/>
    <col min="7" max="7" width="12.421875" style="1" customWidth="1"/>
    <col min="8" max="8" width="11.421875" style="1" customWidth="1"/>
    <col min="9" max="9" width="14.8515625" style="1" customWidth="1"/>
    <col min="10" max="10" width="10.28125" style="1" customWidth="1"/>
    <col min="11" max="11" width="4.140625" style="1" customWidth="1"/>
    <col min="12" max="12" width="16.00390625" style="1" customWidth="1"/>
    <col min="13" max="13" width="10.8515625" style="1" customWidth="1"/>
    <col min="14" max="14" width="9.8515625" style="3" customWidth="1"/>
    <col min="15" max="15" width="7.57421875" style="1" customWidth="1"/>
    <col min="16" max="16" width="8.28125" style="1" customWidth="1"/>
    <col min="17" max="17" width="8.00390625" style="1" customWidth="1"/>
    <col min="18" max="18" width="8.00390625" style="4" customWidth="1"/>
    <col min="19" max="19" width="8.421875" style="1" customWidth="1"/>
    <col min="20" max="20" width="8.140625" style="1" customWidth="1"/>
    <col min="21" max="21" width="7.8515625" style="1" customWidth="1"/>
    <col min="22" max="22" width="2.8515625" style="1" customWidth="1"/>
    <col min="23" max="23" width="7.421875" style="1" customWidth="1"/>
    <col min="24" max="24" width="5.28125" style="5" customWidth="1"/>
    <col min="25" max="25" width="7.57421875" style="1" customWidth="1"/>
    <col min="26" max="26" width="6.421875" style="1" customWidth="1"/>
    <col min="27" max="27" width="6.8515625" style="3" customWidth="1"/>
    <col min="28" max="28" width="6.28125" style="1" customWidth="1"/>
    <col min="29" max="47" width="11.421875" style="1" customWidth="1"/>
    <col min="48" max="48" width="9.140625" style="1" hidden="1" customWidth="1"/>
    <col min="49" max="49" width="10.8515625" style="1" hidden="1" customWidth="1"/>
    <col min="50" max="62" width="9.140625" style="1" hidden="1" customWidth="1"/>
    <col min="63" max="68" width="9.140625" style="6" hidden="1" customWidth="1"/>
    <col min="69" max="69" width="7.28125" style="6" hidden="1" customWidth="1"/>
    <col min="70" max="86" width="9.140625" style="6" hidden="1" customWidth="1"/>
    <col min="87" max="16384" width="11.421875" style="1" customWidth="1"/>
  </cols>
  <sheetData>
    <row r="1" spans="1:25" ht="12.75">
      <c r="A1" s="239"/>
      <c r="B1" s="240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4"/>
      <c r="S1" s="239"/>
      <c r="T1" s="239"/>
      <c r="U1" s="239"/>
      <c r="V1" s="239"/>
      <c r="W1" s="239"/>
      <c r="X1" s="245"/>
      <c r="Y1" s="239"/>
    </row>
    <row r="2" spans="1:86" s="7" customFormat="1" ht="20.25">
      <c r="A2" s="241"/>
      <c r="B2" s="364" t="s">
        <v>0</v>
      </c>
      <c r="C2" s="345"/>
      <c r="D2" s="345"/>
      <c r="E2" s="346"/>
      <c r="F2" s="347"/>
      <c r="G2" s="348"/>
      <c r="H2" s="348"/>
      <c r="I2" s="348"/>
      <c r="J2" s="349"/>
      <c r="K2" s="246"/>
      <c r="L2" s="368" t="s">
        <v>1</v>
      </c>
      <c r="M2" s="365"/>
      <c r="N2" s="365"/>
      <c r="O2" s="250"/>
      <c r="P2" s="241"/>
      <c r="Q2" s="241"/>
      <c r="R2" s="251"/>
      <c r="S2" s="241"/>
      <c r="T2" s="241"/>
      <c r="U2" s="241"/>
      <c r="V2" s="241"/>
      <c r="W2" s="241"/>
      <c r="X2" s="241"/>
      <c r="Y2" s="241"/>
      <c r="AU2" s="1"/>
      <c r="AV2" s="1"/>
      <c r="AW2" s="1"/>
      <c r="AX2" s="1"/>
      <c r="AY2" s="1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64" ht="15">
      <c r="A3" s="239"/>
      <c r="B3" s="350"/>
      <c r="C3" s="350"/>
      <c r="D3" s="351"/>
      <c r="E3" s="351"/>
      <c r="F3" s="352" t="str">
        <f>CONCATENATE(CHAR(71),CHAR(108),CHAR(97),CHAR(117),CHAR(99),CHAR(111),CHAR(32),CHAR(32),CHAR(100),CHAR(101),CHAR(32),CHAR(83),CHAR(111),CHAR(117),CHAR(122),CHAR(97),CHAR(32),CHAR(82),CHAR(111),CHAR(108),CHAR(105),CHAR(109))</f>
        <v>Glauco  de Souza Rolim</v>
      </c>
      <c r="G3" s="351"/>
      <c r="H3" s="351"/>
      <c r="I3" s="351"/>
      <c r="J3" s="353"/>
      <c r="K3" s="247"/>
      <c r="L3" s="369" t="s">
        <v>2</v>
      </c>
      <c r="M3" s="366"/>
      <c r="N3" s="366"/>
      <c r="O3" s="97"/>
      <c r="P3" s="69"/>
      <c r="Q3" s="252"/>
      <c r="R3" s="253"/>
      <c r="S3" s="252"/>
      <c r="T3" s="252"/>
      <c r="U3" s="252"/>
      <c r="V3" s="69"/>
      <c r="W3" s="239"/>
      <c r="X3" s="253"/>
      <c r="Y3" s="69"/>
      <c r="Z3" s="10"/>
      <c r="AA3" s="47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2"/>
      <c r="AP3" s="12"/>
      <c r="AQ3" s="11"/>
      <c r="AR3" s="11"/>
      <c r="AS3" s="11"/>
      <c r="AZ3" s="13"/>
      <c r="BK3" s="14"/>
      <c r="BL3" s="14"/>
    </row>
    <row r="4" spans="1:64" ht="15">
      <c r="A4" s="239"/>
      <c r="B4" s="354"/>
      <c r="C4" s="354"/>
      <c r="D4" s="351"/>
      <c r="E4" s="351"/>
      <c r="F4" s="352" t="str">
        <f>CONCATENATE(CHAR(80),CHAR(97),CHAR(117),CHAR(108),CHAR(111),CHAR(32),CHAR(67),CHAR(101),CHAR(115),CHAR(97),CHAR(114),CHAR(32),CHAR(83),CHAR(101),CHAR(110),CHAR(116),CHAR(101),CHAR(108),CHAR(104),CHAR(97),CHAR(115))</f>
        <v>Paulo Cesar Sentelhas</v>
      </c>
      <c r="G4" s="351"/>
      <c r="H4" s="351"/>
      <c r="I4" s="351"/>
      <c r="J4" s="353"/>
      <c r="K4" s="247"/>
      <c r="L4" s="370" t="s">
        <v>3</v>
      </c>
      <c r="M4" s="366"/>
      <c r="N4" s="366"/>
      <c r="O4" s="97"/>
      <c r="P4" s="69"/>
      <c r="Q4" s="252"/>
      <c r="R4" s="253"/>
      <c r="S4" s="252"/>
      <c r="T4" s="252"/>
      <c r="U4" s="252"/>
      <c r="V4" s="69"/>
      <c r="W4" s="239"/>
      <c r="X4" s="253"/>
      <c r="Y4" s="69"/>
      <c r="Z4" s="10"/>
      <c r="AA4" s="47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12"/>
      <c r="AP4" s="12"/>
      <c r="AQ4" s="11"/>
      <c r="AR4" s="11"/>
      <c r="AS4" s="11"/>
      <c r="AZ4" s="13"/>
      <c r="BK4" s="14"/>
      <c r="BL4" s="14"/>
    </row>
    <row r="5" spans="1:65" ht="19.5" customHeight="1">
      <c r="A5" s="239"/>
      <c r="B5" s="354"/>
      <c r="C5" s="357" t="s">
        <v>4</v>
      </c>
      <c r="D5" s="357"/>
      <c r="E5" s="356"/>
      <c r="F5" s="356"/>
      <c r="G5" s="357" t="s">
        <v>5</v>
      </c>
      <c r="H5" s="358"/>
      <c r="I5" s="358"/>
      <c r="J5" s="359"/>
      <c r="K5" s="248"/>
      <c r="L5" s="371" t="s">
        <v>6</v>
      </c>
      <c r="M5" s="367"/>
      <c r="N5" s="367"/>
      <c r="O5" s="97"/>
      <c r="P5" s="69"/>
      <c r="Q5" s="252"/>
      <c r="R5" s="253"/>
      <c r="S5" s="252"/>
      <c r="T5" s="252"/>
      <c r="U5" s="252"/>
      <c r="V5" s="69"/>
      <c r="W5" s="239"/>
      <c r="X5" s="253"/>
      <c r="Y5" s="69"/>
      <c r="Z5" s="10"/>
      <c r="AA5" s="47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2"/>
      <c r="AP5" s="12"/>
      <c r="AQ5" s="11"/>
      <c r="AR5" s="11"/>
      <c r="AS5" s="11"/>
      <c r="AZ5" s="13"/>
      <c r="BK5" s="19" t="s">
        <v>7</v>
      </c>
      <c r="BL5" s="21" t="s">
        <v>8</v>
      </c>
      <c r="BM5" s="474">
        <f>IF(C10&gt;0,IF(BM33=0,2,1),"?")</f>
        <v>1</v>
      </c>
    </row>
    <row r="6" spans="1:64" ht="15.75" thickBot="1">
      <c r="A6" s="239"/>
      <c r="B6" s="360"/>
      <c r="C6" s="361"/>
      <c r="D6" s="361"/>
      <c r="E6" s="362"/>
      <c r="F6" s="682" t="s">
        <v>9</v>
      </c>
      <c r="G6" s="362"/>
      <c r="H6" s="362"/>
      <c r="I6" s="362"/>
      <c r="J6" s="363" t="s">
        <v>10</v>
      </c>
      <c r="K6" s="249"/>
      <c r="L6" s="247"/>
      <c r="M6" s="248"/>
      <c r="N6" s="254"/>
      <c r="O6" s="247"/>
      <c r="P6" s="69"/>
      <c r="Q6" s="252"/>
      <c r="R6" s="253"/>
      <c r="S6" s="252"/>
      <c r="T6" s="252"/>
      <c r="U6" s="252"/>
      <c r="V6" s="69"/>
      <c r="W6" s="239"/>
      <c r="X6" s="253"/>
      <c r="Y6" s="69"/>
      <c r="Z6" s="10"/>
      <c r="AA6" s="47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2"/>
      <c r="AP6" s="12"/>
      <c r="AQ6" s="11"/>
      <c r="AR6" s="11"/>
      <c r="AS6" s="11"/>
      <c r="AZ6" s="13"/>
      <c r="BK6" s="14"/>
      <c r="BL6" s="14"/>
    </row>
    <row r="7" spans="1:28" ht="7.5" customHeight="1">
      <c r="A7" s="239"/>
      <c r="B7" s="240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4"/>
      <c r="S7" s="239"/>
      <c r="T7" s="239"/>
      <c r="U7" s="239"/>
      <c r="V7" s="239"/>
      <c r="W7" s="239"/>
      <c r="X7" s="245"/>
      <c r="Y7" s="239"/>
      <c r="Z7" s="3"/>
      <c r="AB7" s="3"/>
    </row>
    <row r="8" spans="1:69" ht="18">
      <c r="A8" s="239"/>
      <c r="B8" s="428" t="s">
        <v>11</v>
      </c>
      <c r="C8" s="465" t="s">
        <v>12</v>
      </c>
      <c r="D8" s="466"/>
      <c r="E8" s="466"/>
      <c r="F8" s="470"/>
      <c r="G8" s="239"/>
      <c r="H8" s="434" t="s">
        <v>13</v>
      </c>
      <c r="I8" s="435">
        <v>-22.45</v>
      </c>
      <c r="J8" s="570">
        <f>IF(OR(I8&lt;-90,I8&gt;90),"ERRO! ( -90 &lt; LAT &lt; +90)","")</f>
      </c>
      <c r="K8" s="239"/>
      <c r="L8" s="239"/>
      <c r="M8" s="573">
        <f>IF(OR(I8&lt;-90,I8&gt;90),0,I8)</f>
        <v>-22.45</v>
      </c>
      <c r="N8" s="239"/>
      <c r="O8" s="239"/>
      <c r="P8" s="239"/>
      <c r="Q8" s="239"/>
      <c r="R8" s="244"/>
      <c r="S8" s="239"/>
      <c r="T8" s="239"/>
      <c r="U8" s="239"/>
      <c r="V8" s="245"/>
      <c r="W8" s="245"/>
      <c r="X8" s="69"/>
      <c r="Y8" s="253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12"/>
      <c r="AP8" s="12"/>
      <c r="AQ8" s="11"/>
      <c r="AR8" s="11"/>
      <c r="AS8" s="11"/>
      <c r="BQ8" s="16"/>
    </row>
    <row r="9" spans="1:69" ht="5.25" customHeight="1">
      <c r="A9" s="239"/>
      <c r="B9" s="475"/>
      <c r="C9" s="476"/>
      <c r="D9" s="265"/>
      <c r="E9" s="239"/>
      <c r="F9" s="239"/>
      <c r="G9" s="239"/>
      <c r="H9" s="239"/>
      <c r="I9" s="239"/>
      <c r="J9" s="239"/>
      <c r="K9" s="239"/>
      <c r="L9" s="332"/>
      <c r="M9" s="239"/>
      <c r="N9" s="239"/>
      <c r="O9" s="239"/>
      <c r="P9" s="239"/>
      <c r="Q9" s="239"/>
      <c r="R9" s="244"/>
      <c r="S9" s="239"/>
      <c r="T9" s="239"/>
      <c r="U9" s="239"/>
      <c r="V9" s="245"/>
      <c r="W9" s="245"/>
      <c r="X9" s="69"/>
      <c r="Y9" s="253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12"/>
      <c r="AP9" s="12"/>
      <c r="AQ9" s="11"/>
      <c r="AR9" s="11"/>
      <c r="AS9" s="11"/>
      <c r="BQ9" s="16"/>
    </row>
    <row r="10" spans="1:69" ht="15.75" customHeight="1">
      <c r="A10" s="239"/>
      <c r="B10" s="432" t="s">
        <v>14</v>
      </c>
      <c r="C10" s="436">
        <v>100</v>
      </c>
      <c r="D10" s="569"/>
      <c r="E10" s="239"/>
      <c r="F10" s="239"/>
      <c r="G10" s="239"/>
      <c r="H10" s="437" t="s">
        <v>15</v>
      </c>
      <c r="I10" s="438" t="s">
        <v>16</v>
      </c>
      <c r="J10" s="239"/>
      <c r="K10" s="508"/>
      <c r="L10" s="477"/>
      <c r="M10" s="239"/>
      <c r="N10" s="239"/>
      <c r="O10" s="239"/>
      <c r="P10" s="239"/>
      <c r="Q10" s="239"/>
      <c r="R10" s="244"/>
      <c r="S10" s="239"/>
      <c r="T10" s="239"/>
      <c r="U10" s="239"/>
      <c r="V10" s="245"/>
      <c r="W10" s="245"/>
      <c r="X10" s="69"/>
      <c r="Y10" s="253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12"/>
      <c r="AP10" s="12"/>
      <c r="AQ10" s="11"/>
      <c r="AR10" s="11"/>
      <c r="AS10" s="11"/>
      <c r="BM10" s="6" t="s">
        <v>17</v>
      </c>
      <c r="BQ10" s="16"/>
    </row>
    <row r="11" spans="1:86" s="3" customFormat="1" ht="4.5" customHeight="1">
      <c r="A11" s="239"/>
      <c r="B11" s="239"/>
      <c r="C11" s="239"/>
      <c r="D11" s="239"/>
      <c r="E11" s="263"/>
      <c r="F11" s="263"/>
      <c r="G11" s="263"/>
      <c r="H11" s="263"/>
      <c r="I11" s="263"/>
      <c r="J11" s="478"/>
      <c r="K11" s="264" t="s">
        <v>18</v>
      </c>
      <c r="L11" s="239"/>
      <c r="M11" s="239"/>
      <c r="N11" s="239"/>
      <c r="O11" s="239"/>
      <c r="P11" s="239"/>
      <c r="Q11" s="265"/>
      <c r="R11" s="244"/>
      <c r="S11" s="239"/>
      <c r="T11" s="239"/>
      <c r="U11" s="239"/>
      <c r="V11" s="245"/>
      <c r="W11" s="245"/>
      <c r="X11" s="69"/>
      <c r="Y11" s="253"/>
      <c r="Z11" s="11"/>
      <c r="AA11" s="11"/>
      <c r="AB11" s="11"/>
      <c r="AC11" s="11"/>
      <c r="AD11" s="11"/>
      <c r="AE11" s="11"/>
      <c r="AF11" s="11"/>
      <c r="AG11" s="11"/>
      <c r="AH11" s="11"/>
      <c r="AI11" s="473"/>
      <c r="AJ11" s="473"/>
      <c r="AK11" s="473"/>
      <c r="AL11" s="473"/>
      <c r="AM11" s="473"/>
      <c r="AN11" s="473"/>
      <c r="AO11" s="11"/>
      <c r="AP11" s="11"/>
      <c r="AQ11" s="11"/>
      <c r="AR11" s="11"/>
      <c r="AS11" s="11"/>
      <c r="AU11" s="1"/>
      <c r="AV11" s="1"/>
      <c r="AW11" s="1"/>
      <c r="AX11" s="1"/>
      <c r="AY11" s="1"/>
      <c r="BK11" s="6"/>
      <c r="BL11" s="6"/>
      <c r="BM11" s="6"/>
      <c r="BN11" s="6"/>
      <c r="BO11" s="6"/>
      <c r="BP11" s="6"/>
      <c r="BQ11" s="1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 t="s">
        <v>18</v>
      </c>
      <c r="CE11" s="6"/>
      <c r="CF11" s="6"/>
      <c r="CG11" s="6"/>
      <c r="CH11" s="6"/>
    </row>
    <row r="12" spans="1:87" ht="15" customHeight="1">
      <c r="A12" s="239"/>
      <c r="B12" s="261" t="s">
        <v>19</v>
      </c>
      <c r="C12" s="239"/>
      <c r="D12" s="262">
        <f>IF(C10&lt;=0,"A CAD deve ser um valor positivo !!","")</f>
      </c>
      <c r="E12" s="239"/>
      <c r="F12" s="239"/>
      <c r="G12" s="239"/>
      <c r="H12" s="437" t="s">
        <v>20</v>
      </c>
      <c r="I12" s="438">
        <v>1</v>
      </c>
      <c r="J12" s="568">
        <f>IF(OR(I12&lt;1,I12&gt;365),"ERRO! ( 1&lt;NDA&lt;365 )","")</f>
      </c>
      <c r="K12" s="239"/>
      <c r="L12" s="239"/>
      <c r="M12" s="239"/>
      <c r="N12" s="239"/>
      <c r="O12" s="239"/>
      <c r="P12" s="239"/>
      <c r="Q12" s="239"/>
      <c r="R12" s="244"/>
      <c r="S12" s="239"/>
      <c r="T12" s="245"/>
      <c r="U12" s="245"/>
      <c r="V12" s="239"/>
      <c r="W12" s="239"/>
      <c r="X12" s="69"/>
      <c r="Y12" s="253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12"/>
      <c r="AP12" s="12"/>
      <c r="AQ12" s="11"/>
      <c r="AR12" s="11"/>
      <c r="AS12" s="11"/>
      <c r="BK12" s="6" t="s">
        <v>21</v>
      </c>
      <c r="BM12" s="23" t="s">
        <v>18</v>
      </c>
      <c r="BN12" s="16">
        <v>16.9</v>
      </c>
      <c r="BO12" s="24">
        <v>0</v>
      </c>
      <c r="BP12" s="16">
        <v>0</v>
      </c>
      <c r="BQ12" s="16">
        <v>0</v>
      </c>
      <c r="BR12" s="16">
        <v>0</v>
      </c>
      <c r="BS12" s="16">
        <v>0</v>
      </c>
      <c r="BT12" s="16"/>
      <c r="BU12" s="16"/>
      <c r="BV12" s="16"/>
      <c r="BW12" s="14"/>
      <c r="BX12" s="14"/>
      <c r="BY12" s="14"/>
      <c r="BZ12" s="14"/>
      <c r="CA12" s="14"/>
      <c r="CB12" s="14">
        <v>0</v>
      </c>
      <c r="CC12" s="16">
        <v>0</v>
      </c>
      <c r="CD12" s="16">
        <f>C10</f>
        <v>100</v>
      </c>
      <c r="CE12" s="24">
        <v>0</v>
      </c>
      <c r="CF12" s="14">
        <v>0</v>
      </c>
      <c r="CG12" s="14">
        <v>0</v>
      </c>
      <c r="CH12" s="14">
        <v>0</v>
      </c>
      <c r="CI12" s="10" t="s">
        <v>18</v>
      </c>
    </row>
    <row r="13" spans="1:64" ht="15" customHeight="1">
      <c r="A13" s="239"/>
      <c r="B13" s="266" t="str">
        <f>IF(BM33=0,"Os valores não foram suficientes para iniciar o BH na capacidade de campo!!, os cálculos foram iniciados no decêndio de maior valor de P-ETP",IF(BM5="?","","Cálculos OK! "))</f>
        <v>Cálculos OK! 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5"/>
      <c r="X13" s="253"/>
      <c r="Y13" s="69"/>
      <c r="Z13" s="10"/>
      <c r="AA13" s="1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2"/>
      <c r="AP13" s="12"/>
      <c r="AQ13" s="11"/>
      <c r="AR13" s="11"/>
      <c r="AS13" s="11"/>
      <c r="AZ13" s="13"/>
      <c r="BK13" s="14">
        <f>cadm</f>
        <v>100</v>
      </c>
      <c r="BL13" s="14"/>
    </row>
    <row r="14" spans="1:86" ht="4.5" customHeight="1">
      <c r="A14" s="239"/>
      <c r="B14" s="267"/>
      <c r="C14" s="268"/>
      <c r="D14" s="69"/>
      <c r="E14" s="253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265"/>
      <c r="R14" s="253"/>
      <c r="S14" s="252"/>
      <c r="T14" s="252"/>
      <c r="U14" s="252"/>
      <c r="V14" s="69"/>
      <c r="W14" s="239"/>
      <c r="X14" s="253"/>
      <c r="Y14" s="69"/>
      <c r="Z14" s="10"/>
      <c r="AA14" s="10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2"/>
      <c r="AP14" s="12"/>
      <c r="AQ14" s="11"/>
      <c r="AR14" s="11"/>
      <c r="AS14" s="11"/>
      <c r="AZ14" s="13"/>
      <c r="BK14" s="14"/>
      <c r="BL14" s="14"/>
      <c r="BO14" s="26" t="s">
        <v>22</v>
      </c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6" customHeight="1">
      <c r="A15" s="239"/>
      <c r="B15" s="267"/>
      <c r="C15" s="268"/>
      <c r="D15" s="69"/>
      <c r="E15" s="253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65"/>
      <c r="R15" s="253"/>
      <c r="S15" s="252"/>
      <c r="T15" s="252"/>
      <c r="U15" s="252"/>
      <c r="V15" s="69"/>
      <c r="W15" s="239"/>
      <c r="X15" s="253"/>
      <c r="Y15" s="69"/>
      <c r="Z15" s="10"/>
      <c r="AA15" s="10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12"/>
      <c r="AP15" s="12"/>
      <c r="AQ15" s="11"/>
      <c r="AR15" s="11"/>
      <c r="AS15" s="11"/>
      <c r="AZ15" s="13"/>
      <c r="BK15" s="14"/>
      <c r="BL15" s="14"/>
      <c r="BO15" s="26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91" ht="15" thickBot="1">
      <c r="A16" s="239"/>
      <c r="B16" s="30" t="s">
        <v>23</v>
      </c>
      <c r="C16" s="31"/>
      <c r="D16" s="31"/>
      <c r="E16" s="332"/>
      <c r="F16" s="239"/>
      <c r="G16" s="239"/>
      <c r="H16" s="239"/>
      <c r="I16" s="239"/>
      <c r="J16" s="239"/>
      <c r="K16" s="239"/>
      <c r="L16" s="239"/>
      <c r="M16" s="30" t="s">
        <v>24</v>
      </c>
      <c r="N16" s="31"/>
      <c r="O16" s="31"/>
      <c r="P16" s="31"/>
      <c r="Q16" s="239"/>
      <c r="R16" s="239"/>
      <c r="S16" s="244"/>
      <c r="T16" s="239" t="s">
        <v>18</v>
      </c>
      <c r="U16" s="239"/>
      <c r="V16" s="239"/>
      <c r="W16" s="245"/>
      <c r="X16" s="69"/>
      <c r="Y16" s="253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12"/>
      <c r="AP16" s="12"/>
      <c r="AQ16" s="11"/>
      <c r="AR16" s="11"/>
      <c r="AS16" s="11"/>
      <c r="BQ16" s="16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J16" s="479"/>
      <c r="CK16" s="480"/>
      <c r="CL16" s="480"/>
      <c r="CM16" s="509"/>
    </row>
    <row r="17" spans="1:91" s="32" customFormat="1" ht="15">
      <c r="A17" s="242"/>
      <c r="B17" s="87" t="s">
        <v>25</v>
      </c>
      <c r="C17" s="88" t="s">
        <v>26</v>
      </c>
      <c r="D17" s="542" t="s">
        <v>27</v>
      </c>
      <c r="E17" s="89" t="s">
        <v>28</v>
      </c>
      <c r="F17" s="89" t="s">
        <v>29</v>
      </c>
      <c r="G17" s="115" t="s">
        <v>30</v>
      </c>
      <c r="H17" s="115" t="s">
        <v>31</v>
      </c>
      <c r="I17" s="115"/>
      <c r="J17" s="89" t="s">
        <v>18</v>
      </c>
      <c r="K17" s="89"/>
      <c r="L17" s="34" t="s">
        <v>32</v>
      </c>
      <c r="M17" s="178"/>
      <c r="N17" s="179"/>
      <c r="O17" s="510"/>
      <c r="P17" s="179"/>
      <c r="Q17" s="36"/>
      <c r="R17" s="36"/>
      <c r="S17" s="36"/>
      <c r="T17" s="36"/>
      <c r="U17" s="36"/>
      <c r="V17" s="226"/>
      <c r="W17" s="272"/>
      <c r="X17" s="242"/>
      <c r="Y17" s="242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V17" s="33" t="s">
        <v>33</v>
      </c>
      <c r="AW17" s="33"/>
      <c r="AX17" s="33"/>
      <c r="AY17" s="33" t="s">
        <v>34</v>
      </c>
      <c r="AZ17" s="33" t="s">
        <v>35</v>
      </c>
      <c r="BA17" s="33" t="s">
        <v>36</v>
      </c>
      <c r="BB17" s="33" t="s">
        <v>37</v>
      </c>
      <c r="BC17" s="37" t="s">
        <v>38</v>
      </c>
      <c r="BD17" s="38" t="s">
        <v>39</v>
      </c>
      <c r="BE17" s="33" t="s">
        <v>40</v>
      </c>
      <c r="BF17" s="33" t="s">
        <v>41</v>
      </c>
      <c r="BG17" s="34" t="s">
        <v>42</v>
      </c>
      <c r="BK17" s="39" t="s">
        <v>38</v>
      </c>
      <c r="BL17" s="39"/>
      <c r="BM17" s="40" t="s">
        <v>43</v>
      </c>
      <c r="BN17" s="39" t="s">
        <v>43</v>
      </c>
      <c r="BO17" s="1" t="s">
        <v>44</v>
      </c>
      <c r="BP17" s="40"/>
      <c r="BQ17" s="39" t="s">
        <v>18</v>
      </c>
      <c r="BR17" s="40"/>
      <c r="BS17" s="40"/>
      <c r="BT17" s="40"/>
      <c r="BU17" s="40"/>
      <c r="BV17" s="40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J17" s="479"/>
      <c r="CK17" s="480"/>
      <c r="CL17" s="480"/>
      <c r="CM17" s="511"/>
    </row>
    <row r="18" spans="1:91" s="32" customFormat="1" ht="15">
      <c r="A18" s="242"/>
      <c r="B18" s="91" t="s">
        <v>18</v>
      </c>
      <c r="C18" s="92" t="s">
        <v>45</v>
      </c>
      <c r="D18" s="93" t="s">
        <v>18</v>
      </c>
      <c r="E18" s="93" t="s">
        <v>46</v>
      </c>
      <c r="F18" s="93" t="s">
        <v>47</v>
      </c>
      <c r="G18" s="116" t="s">
        <v>48</v>
      </c>
      <c r="H18" s="92" t="s">
        <v>18</v>
      </c>
      <c r="I18" s="92" t="s">
        <v>18</v>
      </c>
      <c r="J18" s="92" t="s">
        <v>18</v>
      </c>
      <c r="K18" s="92"/>
      <c r="L18" s="118" t="s">
        <v>49</v>
      </c>
      <c r="M18" s="512"/>
      <c r="N18" s="513" t="s">
        <v>50</v>
      </c>
      <c r="O18" s="514"/>
      <c r="P18" s="514"/>
      <c r="Q18" s="43"/>
      <c r="R18" s="46"/>
      <c r="S18" s="46"/>
      <c r="T18" s="46"/>
      <c r="U18" s="46"/>
      <c r="V18" s="515"/>
      <c r="W18" s="272"/>
      <c r="X18" s="242"/>
      <c r="Y18" s="242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V18" s="44" t="s">
        <v>47</v>
      </c>
      <c r="AW18" s="44"/>
      <c r="AX18" s="44"/>
      <c r="AY18" s="50" t="s">
        <v>51</v>
      </c>
      <c r="AZ18" s="50" t="s">
        <v>51</v>
      </c>
      <c r="BA18" s="44"/>
      <c r="BB18" s="44"/>
      <c r="BC18" s="51" t="s">
        <v>47</v>
      </c>
      <c r="BD18" s="52" t="s">
        <v>47</v>
      </c>
      <c r="BE18" s="44" t="s">
        <v>47</v>
      </c>
      <c r="BF18" s="44" t="s">
        <v>47</v>
      </c>
      <c r="BG18" s="53" t="s">
        <v>47</v>
      </c>
      <c r="BK18" s="39" t="s">
        <v>52</v>
      </c>
      <c r="BL18" s="39"/>
      <c r="BM18" s="39">
        <v>1</v>
      </c>
      <c r="BN18" s="39">
        <v>2</v>
      </c>
      <c r="BO18" s="1"/>
      <c r="BP18" s="39"/>
      <c r="BQ18" s="39"/>
      <c r="BR18" s="40"/>
      <c r="BS18" s="40"/>
      <c r="BT18" s="40"/>
      <c r="BU18" s="40"/>
      <c r="BV18" s="40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J18" s="482"/>
      <c r="CK18" s="483"/>
      <c r="CL18" s="483"/>
      <c r="CM18" s="479"/>
    </row>
    <row r="19" spans="1:91" s="32" customFormat="1" ht="15">
      <c r="A19" s="242"/>
      <c r="B19" s="54" t="s">
        <v>18</v>
      </c>
      <c r="C19" s="94" t="s">
        <v>53</v>
      </c>
      <c r="D19" s="95" t="s">
        <v>18</v>
      </c>
      <c r="E19" s="55" t="s">
        <v>18</v>
      </c>
      <c r="F19" s="55" t="s">
        <v>18</v>
      </c>
      <c r="G19" s="117" t="s">
        <v>18</v>
      </c>
      <c r="H19" s="94" t="s">
        <v>18</v>
      </c>
      <c r="I19" s="94" t="s">
        <v>18</v>
      </c>
      <c r="J19" s="94" t="s">
        <v>18</v>
      </c>
      <c r="K19" s="94"/>
      <c r="L19" s="119">
        <v>1948</v>
      </c>
      <c r="M19" s="516"/>
      <c r="N19" s="517" t="s">
        <v>54</v>
      </c>
      <c r="O19" s="518" t="s">
        <v>55</v>
      </c>
      <c r="P19" s="518" t="s">
        <v>30</v>
      </c>
      <c r="Q19" s="57"/>
      <c r="R19" s="57"/>
      <c r="S19" s="57"/>
      <c r="T19" s="57"/>
      <c r="U19" s="57"/>
      <c r="V19" s="519"/>
      <c r="W19" s="242"/>
      <c r="X19" s="242"/>
      <c r="Y19" s="242"/>
      <c r="AV19" s="55" t="s">
        <v>18</v>
      </c>
      <c r="AW19" s="55" t="s">
        <v>56</v>
      </c>
      <c r="AX19" s="55" t="s">
        <v>57</v>
      </c>
      <c r="AY19" s="55" t="s">
        <v>47</v>
      </c>
      <c r="AZ19" s="55" t="s">
        <v>47</v>
      </c>
      <c r="BA19" s="55"/>
      <c r="BB19" s="55"/>
      <c r="BC19" s="62" t="s">
        <v>18</v>
      </c>
      <c r="BD19" s="63" t="s">
        <v>18</v>
      </c>
      <c r="BE19" s="55" t="s">
        <v>18</v>
      </c>
      <c r="BF19" s="55" t="s">
        <v>18</v>
      </c>
      <c r="BG19" s="64" t="s">
        <v>18</v>
      </c>
      <c r="BK19" s="40"/>
      <c r="BL19" s="40"/>
      <c r="BM19" s="39" t="s">
        <v>18</v>
      </c>
      <c r="BN19" s="39" t="s">
        <v>18</v>
      </c>
      <c r="BO19" s="1"/>
      <c r="BP19" s="39"/>
      <c r="BQ19" s="39"/>
      <c r="BR19" s="40"/>
      <c r="BS19" s="40"/>
      <c r="BT19" s="40"/>
      <c r="BU19" s="40"/>
      <c r="BV19" s="40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J19" s="482"/>
      <c r="CK19" s="483"/>
      <c r="CL19" s="483"/>
      <c r="CM19" s="479"/>
    </row>
    <row r="20" spans="1:91" ht="14.25">
      <c r="A20" s="239"/>
      <c r="B20" s="458" t="s">
        <v>58</v>
      </c>
      <c r="C20" s="65">
        <v>31</v>
      </c>
      <c r="D20" s="233">
        <f>IF(I12&lt;1,1,IF(I12&gt;365,365,I12))</f>
        <v>1</v>
      </c>
      <c r="E20" s="66">
        <v>24.5</v>
      </c>
      <c r="F20" s="66">
        <v>41</v>
      </c>
      <c r="G20" s="464">
        <f aca="true" t="shared" si="0" ref="G20:G31">P20</f>
        <v>13.347611227418474</v>
      </c>
      <c r="H20" s="195">
        <f>(0.2*E20)^1.514</f>
        <v>11.090646556799774</v>
      </c>
      <c r="I20" s="525"/>
      <c r="J20" s="195" t="s">
        <v>18</v>
      </c>
      <c r="K20" s="526"/>
      <c r="L20" s="197">
        <f aca="true" t="shared" si="1" ref="L20:L31">16*((10*E20/$H$50)^J$22)*(G20/12)*(C20/30)</f>
        <v>129.77889326529206</v>
      </c>
      <c r="M20" s="527"/>
      <c r="N20" s="124">
        <f aca="true" t="shared" si="2" ref="N20:N31">23.45*SIN(RADIANS((360/365)*(D20-81)))</f>
        <v>-23.011636727869238</v>
      </c>
      <c r="O20" s="124">
        <f>ACOS(-TAN(RADIANS($M$8))*TAN(RADIANS(N20)))*180/PI()</f>
        <v>100.10708420563856</v>
      </c>
      <c r="P20" s="124">
        <f>2*O20/15</f>
        <v>13.347611227418474</v>
      </c>
      <c r="Q20" s="113"/>
      <c r="R20" s="113"/>
      <c r="S20" s="113"/>
      <c r="T20" s="113"/>
      <c r="U20" s="113"/>
      <c r="V20" s="520"/>
      <c r="W20" s="239"/>
      <c r="X20" s="245"/>
      <c r="Y20" s="239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2"/>
      <c r="AP20" s="12"/>
      <c r="AQ20" s="11"/>
      <c r="AR20" s="11"/>
      <c r="AS20" s="11"/>
      <c r="AV20" s="71">
        <f aca="true" t="shared" si="3" ref="AV20:AV31">F20-L20</f>
        <v>-88.77889326529206</v>
      </c>
      <c r="AW20" s="71">
        <f aca="true" t="shared" si="4" ref="AW20:AW31">IF(AV20&gt;=0,AV20,0)</f>
        <v>0</v>
      </c>
      <c r="AX20" s="71">
        <f aca="true" t="shared" si="5" ref="AX20:AX31">IF(AV20&lt;0,AV20,0)</f>
        <v>-88.77889326529206</v>
      </c>
      <c r="AY20" s="71">
        <f>IF(AV20&gt;0,BS12+AV20,BS12)</f>
        <v>0</v>
      </c>
      <c r="AZ20" s="71">
        <f>IF(AV20&gt;0,AY31+AV20,0)</f>
        <v>0</v>
      </c>
      <c r="BA20" s="72">
        <f>IF(AND(CB12=0,BQ20=1),$BO$14,"")</f>
      </c>
      <c r="BB20" s="71">
        <f>IF(BQ20=0,0,IF(AND($BM$33=0,BN20&lt;&gt;0),$AW$36,IF(AV20&lt;0,CC12+AV20,IF(AV20&gt;0,cadm*LN(BC20/cadm)))))</f>
        <v>0</v>
      </c>
      <c r="BC20" s="73">
        <f>IF(BQ20=1,IF(BK20&gt;cadm,cadm,BK20),0)</f>
        <v>0</v>
      </c>
      <c r="BD20" s="73">
        <f>IF(AND($BM$5=2,BQ20=1),AZ20,IF(BQ20=1,BC20-cadm,""))</f>
      </c>
      <c r="BE20" s="71">
        <f aca="true" t="shared" si="6" ref="BE20:BE31">IF(BQ20=1,IF(AV20&gt;=0,L20,IF(BD20&lt;0,F20+ABS(BD20),L20)),"")</f>
      </c>
      <c r="BF20" s="71">
        <f aca="true" t="shared" si="7" ref="BF20:BF31">IF(BQ20=1,L20-BE20,"")</f>
      </c>
      <c r="BG20" s="74">
        <f aca="true" t="shared" si="8" ref="BG20:BG31">IF(BQ20=1,IF(BC20&lt;cadm,0,IF(BC20=cadm,AV20-BD20)),"")</f>
      </c>
      <c r="BI20" s="1" t="s">
        <v>18</v>
      </c>
      <c r="BK20" s="14">
        <f>IF(BQ20=0,0,IF(BL20&lt;&gt;0,BL20,IF(AV20&lt;0,cadm*EXP(BB20/cadm),IF(AV20&gt;0,BK13+ABS(AV20)))))</f>
        <v>0</v>
      </c>
      <c r="BL20" s="14">
        <f>IF(BO20=0,0,IF($BM$33&lt;&gt;0,IF(AY20&gt;cadm,cadm,AY20),IF(AZ20&gt;cadm,cadm,cadm*EXP(-BB20/cadm))))</f>
        <v>0</v>
      </c>
      <c r="BM20" s="14">
        <f>IF(OR(AY20&gt;=C10,BZ12=1),1,0)</f>
        <v>0</v>
      </c>
      <c r="BN20" s="14">
        <f aca="true" t="shared" si="9" ref="BN20:BN31">IF(OR(AZ20&gt;=$C$10,AZ20=$BR$33),1,0)</f>
        <v>0</v>
      </c>
      <c r="BO20" s="1">
        <f aca="true" t="shared" si="10" ref="BO20:BO31">IF(BA20&lt;&gt;"",1,0)</f>
        <v>0</v>
      </c>
      <c r="BP20" s="14">
        <f>IF(OR(AY20&gt;=C10,CA12=1),1,0)</f>
        <v>0</v>
      </c>
      <c r="BQ20" s="14">
        <f>IF($BM$33&lt;&gt;0,IF(OR(BM20=1,CB12=1),1,0),IF(OR(BN20=1,CB12=1),1,0))</f>
        <v>0</v>
      </c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J20" s="482"/>
      <c r="CK20" s="483"/>
      <c r="CL20" s="483"/>
      <c r="CM20" s="479"/>
    </row>
    <row r="21" spans="1:91" ht="14.25">
      <c r="A21" s="239"/>
      <c r="B21" s="458" t="s">
        <v>59</v>
      </c>
      <c r="C21" s="65">
        <v>28</v>
      </c>
      <c r="D21" s="233">
        <f aca="true" t="shared" si="11" ref="D21:D31">IF(D20+C20&gt;365,((D20+C20)-365),D20+C20)</f>
        <v>32</v>
      </c>
      <c r="E21" s="66">
        <v>24.53333333333333</v>
      </c>
      <c r="F21" s="66">
        <v>55</v>
      </c>
      <c r="G21" s="464">
        <f t="shared" si="0"/>
        <v>12.99910153194861</v>
      </c>
      <c r="H21" s="195">
        <f>(0.2*E21)^1.514</f>
        <v>11.113499766073087</v>
      </c>
      <c r="I21" s="528" t="s">
        <v>60</v>
      </c>
      <c r="J21" s="529">
        <f>H33</f>
        <v>108.34316583747254</v>
      </c>
      <c r="K21" s="525"/>
      <c r="L21" s="197">
        <f t="shared" si="1"/>
        <v>114.53131391806194</v>
      </c>
      <c r="M21" s="527"/>
      <c r="N21" s="124">
        <f t="shared" si="2"/>
        <v>-17.51649545648422</v>
      </c>
      <c r="O21" s="124">
        <f aca="true" t="shared" si="12" ref="O21:O31">ACOS(-TAN(RADIANS($M$8))*TAN(RADIANS(N21)))*180/PI()</f>
        <v>97.49326148961457</v>
      </c>
      <c r="P21" s="124">
        <f aca="true" t="shared" si="13" ref="P21:P31">2*O21/15</f>
        <v>12.99910153194861</v>
      </c>
      <c r="Q21" s="113"/>
      <c r="R21" s="113"/>
      <c r="S21" s="113"/>
      <c r="T21" s="113"/>
      <c r="U21" s="113"/>
      <c r="V21" s="520"/>
      <c r="W21" s="239"/>
      <c r="X21" s="245"/>
      <c r="Y21" s="239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2"/>
      <c r="AP21" s="12"/>
      <c r="AQ21" s="11"/>
      <c r="AR21" s="11"/>
      <c r="AS21" s="11"/>
      <c r="AV21" s="71">
        <f t="shared" si="3"/>
        <v>-59.53131391806194</v>
      </c>
      <c r="AW21" s="71">
        <f t="shared" si="4"/>
        <v>0</v>
      </c>
      <c r="AX21" s="71">
        <f t="shared" si="5"/>
        <v>-59.53131391806194</v>
      </c>
      <c r="AY21" s="71">
        <f aca="true" t="shared" si="14" ref="AY21:AY31">IF(AV21&gt;0,AY20+AV21,0)</f>
        <v>0</v>
      </c>
      <c r="AZ21" s="71">
        <f aca="true" t="shared" si="15" ref="AZ21:AZ31">IF(AV21&gt;0,AV21+AZ20,0)</f>
        <v>0</v>
      </c>
      <c r="BA21" s="72">
        <f>IF(AND(BQ20=0,BQ21=1),$BO$14,"")</f>
      </c>
      <c r="BB21" s="71">
        <f>IF(BQ21=0,0,IF(AND($BM$33=0,BN21&lt;&gt;0),$AW$36,IF(AV21&lt;0,BB20+AV21,IF(AV21&gt;0,cadm*LN(BC21/cadm)))))</f>
        <v>0</v>
      </c>
      <c r="BC21" s="73">
        <f>IF(BQ21=1,IF(BK21&gt;cadm,cadm,BK21),0)</f>
        <v>0</v>
      </c>
      <c r="BD21" s="73">
        <f aca="true" t="shared" si="16" ref="BD21:BD31">IF(AND($BM$5=2,BQ21=1,BQ20=0),AZ21,IF(BQ21=1,BC21-BC20,""))</f>
      </c>
      <c r="BE21" s="71">
        <f t="shared" si="6"/>
      </c>
      <c r="BF21" s="71">
        <f t="shared" si="7"/>
      </c>
      <c r="BG21" s="74">
        <f t="shared" si="8"/>
      </c>
      <c r="BK21" s="14">
        <f aca="true" t="shared" si="17" ref="BK21:BK31">IF(BQ21=0,0,IF(BL21&lt;&gt;0,BL21,IF(AV21&lt;0,cadm*EXP(BB21/cadm),IF(AV21&gt;0,BK20+ABS(AV21)))))</f>
        <v>0</v>
      </c>
      <c r="BL21" s="14">
        <f aca="true" t="shared" si="18" ref="BL21:BL31">IF(BO21=0,0,IF($BM$33&lt;&gt;0,IF(AY21&gt;cadm,cadm,AY21),IF(AZ21&gt;cadm,cadm,cadm*EXP(-BB21/cadm))))</f>
        <v>0</v>
      </c>
      <c r="BM21" s="14">
        <f aca="true" t="shared" si="19" ref="BM21:BM31">IF(OR(AY21&gt;=$C$10,BM20=1),1,0)</f>
        <v>0</v>
      </c>
      <c r="BN21" s="14">
        <f t="shared" si="9"/>
        <v>0</v>
      </c>
      <c r="BO21" s="1">
        <f t="shared" si="10"/>
        <v>0</v>
      </c>
      <c r="BP21" s="14">
        <f aca="true" t="shared" si="20" ref="BP21:BP31">IF(OR(AY21&gt;=$C$10,BP20=1),1,0)</f>
        <v>0</v>
      </c>
      <c r="BQ21" s="14">
        <f aca="true" t="shared" si="21" ref="BQ21:BQ31">IF($BM$33&lt;&gt;0,IF(OR(BM21=1,BQ20=1),1,0),IF(OR(BN21=1,BQ20=1),1,0))</f>
        <v>0</v>
      </c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J21" s="482"/>
      <c r="CK21" s="483"/>
      <c r="CL21" s="483"/>
      <c r="CM21" s="479"/>
    </row>
    <row r="22" spans="1:91" ht="14.25">
      <c r="A22" s="239"/>
      <c r="B22" s="458" t="s">
        <v>61</v>
      </c>
      <c r="C22" s="65">
        <v>31</v>
      </c>
      <c r="D22" s="233">
        <f t="shared" si="11"/>
        <v>60</v>
      </c>
      <c r="E22" s="66">
        <v>23.166666666666668</v>
      </c>
      <c r="F22" s="66">
        <v>100</v>
      </c>
      <c r="G22" s="464">
        <f t="shared" si="0"/>
        <v>12.460415467324731</v>
      </c>
      <c r="H22" s="195">
        <f>(0.2*E22)^1.514</f>
        <v>10.189733552191761</v>
      </c>
      <c r="I22" s="528" t="s">
        <v>62</v>
      </c>
      <c r="J22" s="528">
        <f>0.49+0.018*$H$50-7.7*(10^-5)*($H$50^2)+6.75*(10^-7)*($H$50^3)</f>
        <v>2.394769204946269</v>
      </c>
      <c r="K22" s="525"/>
      <c r="L22" s="197">
        <f t="shared" si="1"/>
        <v>105.9580798951825</v>
      </c>
      <c r="M22" s="527"/>
      <c r="N22" s="124">
        <f t="shared" si="2"/>
        <v>-8.293705065035914</v>
      </c>
      <c r="O22" s="124">
        <f t="shared" si="12"/>
        <v>93.45311600493548</v>
      </c>
      <c r="P22" s="124">
        <f t="shared" si="13"/>
        <v>12.460415467324731</v>
      </c>
      <c r="Q22" s="113"/>
      <c r="R22" s="113"/>
      <c r="S22" s="113"/>
      <c r="T22" s="113"/>
      <c r="U22" s="113"/>
      <c r="V22" s="520"/>
      <c r="W22" s="239"/>
      <c r="X22" s="245"/>
      <c r="Y22" s="23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2"/>
      <c r="AP22" s="12"/>
      <c r="AQ22" s="11"/>
      <c r="AR22" s="11"/>
      <c r="AS22" s="11"/>
      <c r="AV22" s="71">
        <f t="shared" si="3"/>
        <v>-5.958079895182493</v>
      </c>
      <c r="AW22" s="71">
        <f t="shared" si="4"/>
        <v>0</v>
      </c>
      <c r="AX22" s="71">
        <f t="shared" si="5"/>
        <v>-5.958079895182493</v>
      </c>
      <c r="AY22" s="71">
        <f t="shared" si="14"/>
        <v>0</v>
      </c>
      <c r="AZ22" s="71">
        <f t="shared" si="15"/>
        <v>0</v>
      </c>
      <c r="BA22" s="72">
        <f>IF(AND(BQ21=0,BQ22=1),$BO$14,"")</f>
      </c>
      <c r="BB22" s="71">
        <f aca="true" t="shared" si="22" ref="BB22:BB31">IF(BQ22=0,0,IF(AND($BM$33=0,BN22&lt;&gt;0),$AW$36,IF(AV22&lt;0,BB21+AV22,IF(AV22&gt;0,cadm*LN(BC22/cadm)))))</f>
        <v>0</v>
      </c>
      <c r="BC22" s="73">
        <f>IF(BQ22=1,IF(BK22&gt;cadm,cadm,BK22),0)</f>
        <v>0</v>
      </c>
      <c r="BD22" s="73">
        <f t="shared" si="16"/>
      </c>
      <c r="BE22" s="71">
        <f t="shared" si="6"/>
      </c>
      <c r="BF22" s="71">
        <f t="shared" si="7"/>
      </c>
      <c r="BG22" s="74">
        <f t="shared" si="8"/>
      </c>
      <c r="BK22" s="14">
        <f t="shared" si="17"/>
        <v>0</v>
      </c>
      <c r="BL22" s="14">
        <f t="shared" si="18"/>
        <v>0</v>
      </c>
      <c r="BM22" s="14">
        <f t="shared" si="19"/>
        <v>0</v>
      </c>
      <c r="BN22" s="14">
        <f t="shared" si="9"/>
        <v>0</v>
      </c>
      <c r="BO22" s="1">
        <f t="shared" si="10"/>
        <v>0</v>
      </c>
      <c r="BP22" s="14">
        <f t="shared" si="20"/>
        <v>0</v>
      </c>
      <c r="BQ22" s="14">
        <f t="shared" si="21"/>
        <v>0</v>
      </c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J22" s="482"/>
      <c r="CK22" s="483"/>
      <c r="CL22" s="483"/>
      <c r="CM22" s="479"/>
    </row>
    <row r="23" spans="1:91" ht="14.25">
      <c r="A23" s="239"/>
      <c r="B23" s="458" t="s">
        <v>63</v>
      </c>
      <c r="C23" s="65">
        <v>30</v>
      </c>
      <c r="D23" s="233">
        <f t="shared" si="11"/>
        <v>91</v>
      </c>
      <c r="E23" s="66">
        <v>21.333333333333332</v>
      </c>
      <c r="F23" s="66">
        <v>129</v>
      </c>
      <c r="G23" s="464">
        <f t="shared" si="0"/>
        <v>11.778309912910203</v>
      </c>
      <c r="H23" s="195">
        <f>(0.2*E23)^1.514</f>
        <v>8.994029638780034</v>
      </c>
      <c r="I23" s="195"/>
      <c r="J23" s="195" t="s">
        <v>18</v>
      </c>
      <c r="K23" s="526"/>
      <c r="L23" s="197">
        <f t="shared" si="1"/>
        <v>79.5609186350188</v>
      </c>
      <c r="M23" s="527"/>
      <c r="N23" s="124">
        <f t="shared" si="2"/>
        <v>4.016824231055649</v>
      </c>
      <c r="O23" s="124">
        <f t="shared" si="12"/>
        <v>88.33732434682652</v>
      </c>
      <c r="P23" s="124">
        <f t="shared" si="13"/>
        <v>11.778309912910203</v>
      </c>
      <c r="Q23" s="113"/>
      <c r="R23" s="113"/>
      <c r="S23" s="113"/>
      <c r="T23" s="113"/>
      <c r="U23" s="113"/>
      <c r="V23" s="520"/>
      <c r="W23" s="239"/>
      <c r="X23" s="245"/>
      <c r="Y23" s="239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2"/>
      <c r="AP23" s="12"/>
      <c r="AQ23" s="11"/>
      <c r="AR23" s="11"/>
      <c r="AS23" s="11"/>
      <c r="AV23" s="71">
        <f t="shared" si="3"/>
        <v>49.439081364981206</v>
      </c>
      <c r="AW23" s="71">
        <f t="shared" si="4"/>
        <v>49.439081364981206</v>
      </c>
      <c r="AX23" s="71">
        <f t="shared" si="5"/>
        <v>0</v>
      </c>
      <c r="AY23" s="71">
        <f t="shared" si="14"/>
        <v>49.439081364981206</v>
      </c>
      <c r="AZ23" s="71">
        <f t="shared" si="15"/>
        <v>49.439081364981206</v>
      </c>
      <c r="BA23" s="72">
        <f>IF(AND(BQ22=0,BQ23=1),$BO$14,"")</f>
      </c>
      <c r="BB23" s="71">
        <f t="shared" si="22"/>
        <v>0</v>
      </c>
      <c r="BC23" s="73">
        <f>IF(BQ23=1,IF(BK23&gt;cadm,cadm,BK23),0)</f>
        <v>0</v>
      </c>
      <c r="BD23" s="73">
        <f t="shared" si="16"/>
      </c>
      <c r="BE23" s="71">
        <f t="shared" si="6"/>
      </c>
      <c r="BF23" s="71">
        <f t="shared" si="7"/>
      </c>
      <c r="BG23" s="74">
        <f t="shared" si="8"/>
      </c>
      <c r="BK23" s="14">
        <f t="shared" si="17"/>
        <v>0</v>
      </c>
      <c r="BL23" s="14">
        <f t="shared" si="18"/>
        <v>0</v>
      </c>
      <c r="BM23" s="14">
        <f t="shared" si="19"/>
        <v>0</v>
      </c>
      <c r="BN23" s="14">
        <f t="shared" si="9"/>
        <v>0</v>
      </c>
      <c r="BO23" s="1">
        <f t="shared" si="10"/>
        <v>0</v>
      </c>
      <c r="BP23" s="14">
        <f t="shared" si="20"/>
        <v>0</v>
      </c>
      <c r="BQ23" s="14">
        <f t="shared" si="21"/>
        <v>0</v>
      </c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J23" s="482"/>
      <c r="CK23" s="483"/>
      <c r="CL23" s="483"/>
      <c r="CM23" s="479"/>
    </row>
    <row r="24" spans="1:91" ht="14.25">
      <c r="A24" s="239"/>
      <c r="B24" s="458" t="s">
        <v>64</v>
      </c>
      <c r="C24" s="65">
        <v>31</v>
      </c>
      <c r="D24" s="233">
        <f t="shared" si="11"/>
        <v>121</v>
      </c>
      <c r="E24" s="66">
        <v>19.2</v>
      </c>
      <c r="F24" s="66">
        <v>95</v>
      </c>
      <c r="G24" s="464">
        <f t="shared" si="0"/>
        <v>11.158352822190409</v>
      </c>
      <c r="H24" s="195">
        <f aca="true" t="shared" si="23" ref="H24:H31">(0.2*E24)^1.514</f>
        <v>7.667918243057767</v>
      </c>
      <c r="I24" s="195"/>
      <c r="J24" s="195" t="s">
        <v>18</v>
      </c>
      <c r="K24" s="526"/>
      <c r="L24" s="197">
        <f t="shared" si="1"/>
        <v>60.517183972617424</v>
      </c>
      <c r="M24" s="527"/>
      <c r="N24" s="124">
        <f t="shared" si="2"/>
        <v>14.90088745587466</v>
      </c>
      <c r="O24" s="124">
        <f t="shared" si="12"/>
        <v>83.68764616642807</v>
      </c>
      <c r="P24" s="124">
        <f t="shared" si="13"/>
        <v>11.158352822190409</v>
      </c>
      <c r="Q24" s="113"/>
      <c r="R24" s="113"/>
      <c r="S24" s="113"/>
      <c r="T24" s="113"/>
      <c r="U24" s="113"/>
      <c r="V24" s="520"/>
      <c r="W24" s="239"/>
      <c r="X24" s="245"/>
      <c r="Y24" s="239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2"/>
      <c r="AP24" s="12"/>
      <c r="AQ24" s="11"/>
      <c r="AR24" s="11"/>
      <c r="AS24" s="11"/>
      <c r="AV24" s="71">
        <f t="shared" si="3"/>
        <v>34.482816027382576</v>
      </c>
      <c r="AW24" s="71">
        <f t="shared" si="4"/>
        <v>34.482816027382576</v>
      </c>
      <c r="AX24" s="71">
        <f t="shared" si="5"/>
        <v>0</v>
      </c>
      <c r="AY24" s="71">
        <f t="shared" si="14"/>
        <v>83.92189739236377</v>
      </c>
      <c r="AZ24" s="71">
        <f t="shared" si="15"/>
        <v>83.92189739236377</v>
      </c>
      <c r="BA24" s="72">
        <f aca="true" t="shared" si="24" ref="BA24:BA31">IF(AND(BQ23=0,BQ24=1),$BO$14,"")</f>
      </c>
      <c r="BB24" s="71">
        <f t="shared" si="22"/>
        <v>0</v>
      </c>
      <c r="BC24" s="73">
        <f aca="true" t="shared" si="25" ref="BC24:BC31">IF(BQ24=1,IF(BK24&gt;cadm,cadm,BK24),0)</f>
        <v>0</v>
      </c>
      <c r="BD24" s="73">
        <f t="shared" si="16"/>
      </c>
      <c r="BE24" s="71">
        <f t="shared" si="6"/>
      </c>
      <c r="BF24" s="71">
        <f t="shared" si="7"/>
      </c>
      <c r="BG24" s="74">
        <f t="shared" si="8"/>
      </c>
      <c r="BK24" s="14">
        <f t="shared" si="17"/>
        <v>0</v>
      </c>
      <c r="BL24" s="14">
        <f t="shared" si="18"/>
        <v>0</v>
      </c>
      <c r="BM24" s="14">
        <f t="shared" si="19"/>
        <v>0</v>
      </c>
      <c r="BN24" s="14">
        <f t="shared" si="9"/>
        <v>0</v>
      </c>
      <c r="BO24" s="1">
        <f t="shared" si="10"/>
        <v>0</v>
      </c>
      <c r="BP24" s="14">
        <f t="shared" si="20"/>
        <v>0</v>
      </c>
      <c r="BQ24" s="14">
        <f t="shared" si="21"/>
        <v>0</v>
      </c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J24" s="482"/>
      <c r="CK24" s="483"/>
      <c r="CL24" s="483"/>
      <c r="CM24" s="479"/>
    </row>
    <row r="25" spans="1:91" ht="14.25">
      <c r="A25" s="239"/>
      <c r="B25" s="458" t="s">
        <v>65</v>
      </c>
      <c r="C25" s="65">
        <v>30</v>
      </c>
      <c r="D25" s="233">
        <f t="shared" si="11"/>
        <v>152</v>
      </c>
      <c r="E25" s="66">
        <v>17.5</v>
      </c>
      <c r="F25" s="66">
        <v>107</v>
      </c>
      <c r="G25" s="464">
        <f t="shared" si="0"/>
        <v>10.716095136155413</v>
      </c>
      <c r="H25" s="195">
        <f t="shared" si="23"/>
        <v>6.663754965476194</v>
      </c>
      <c r="I25" s="195"/>
      <c r="J25" s="195" t="s">
        <v>18</v>
      </c>
      <c r="K25" s="526"/>
      <c r="L25" s="197">
        <f t="shared" si="1"/>
        <v>45.04573932568866</v>
      </c>
      <c r="M25" s="527"/>
      <c r="N25" s="124">
        <f t="shared" si="2"/>
        <v>22.039624558737447</v>
      </c>
      <c r="O25" s="124">
        <f t="shared" si="12"/>
        <v>80.3707135211656</v>
      </c>
      <c r="P25" s="124">
        <f t="shared" si="13"/>
        <v>10.716095136155413</v>
      </c>
      <c r="Q25" s="113"/>
      <c r="R25" s="113"/>
      <c r="S25" s="113"/>
      <c r="T25" s="113"/>
      <c r="U25" s="113"/>
      <c r="V25" s="520" t="s">
        <v>18</v>
      </c>
      <c r="W25" s="239"/>
      <c r="X25" s="245"/>
      <c r="Y25" s="239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2"/>
      <c r="AP25" s="12"/>
      <c r="AQ25" s="11"/>
      <c r="AR25" s="11"/>
      <c r="AS25" s="11"/>
      <c r="AV25" s="71">
        <f t="shared" si="3"/>
        <v>61.95426067431134</v>
      </c>
      <c r="AW25" s="71">
        <f t="shared" si="4"/>
        <v>61.95426067431134</v>
      </c>
      <c r="AX25" s="71">
        <f t="shared" si="5"/>
        <v>0</v>
      </c>
      <c r="AY25" s="71">
        <f t="shared" si="14"/>
        <v>145.87615806667512</v>
      </c>
      <c r="AZ25" s="71">
        <f t="shared" si="15"/>
        <v>145.87615806667512</v>
      </c>
      <c r="BA25" s="72" t="str">
        <f t="shared" si="24"/>
        <v>è</v>
      </c>
      <c r="BB25" s="71">
        <f t="shared" si="22"/>
        <v>0</v>
      </c>
      <c r="BC25" s="73">
        <f t="shared" si="25"/>
        <v>100</v>
      </c>
      <c r="BD25" s="73">
        <f t="shared" si="16"/>
        <v>100</v>
      </c>
      <c r="BE25" s="71">
        <f t="shared" si="6"/>
        <v>45.04573932568866</v>
      </c>
      <c r="BF25" s="71">
        <f t="shared" si="7"/>
        <v>0</v>
      </c>
      <c r="BG25" s="74">
        <f t="shared" si="8"/>
        <v>-38.04573932568866</v>
      </c>
      <c r="BK25" s="14">
        <f t="shared" si="17"/>
        <v>100</v>
      </c>
      <c r="BL25" s="14">
        <f t="shared" si="18"/>
        <v>100</v>
      </c>
      <c r="BM25" s="14">
        <f t="shared" si="19"/>
        <v>1</v>
      </c>
      <c r="BN25" s="14">
        <f t="shared" si="9"/>
        <v>1</v>
      </c>
      <c r="BO25" s="1">
        <f t="shared" si="10"/>
        <v>1</v>
      </c>
      <c r="BP25" s="14">
        <f t="shared" si="20"/>
        <v>1</v>
      </c>
      <c r="BQ25" s="14">
        <f t="shared" si="21"/>
        <v>1</v>
      </c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J25" s="482"/>
      <c r="CK25" s="483"/>
      <c r="CL25" s="483"/>
      <c r="CM25" s="479"/>
    </row>
    <row r="26" spans="1:91" ht="14.25">
      <c r="A26" s="239"/>
      <c r="B26" s="458" t="s">
        <v>66</v>
      </c>
      <c r="C26" s="65">
        <v>31</v>
      </c>
      <c r="D26" s="233">
        <f t="shared" si="11"/>
        <v>182</v>
      </c>
      <c r="E26" s="66">
        <v>17.433333333333334</v>
      </c>
      <c r="F26" s="67">
        <v>124</v>
      </c>
      <c r="G26" s="464">
        <f t="shared" si="0"/>
        <v>10.64519244443094</v>
      </c>
      <c r="H26" s="195">
        <f t="shared" si="23"/>
        <v>6.625358617380126</v>
      </c>
      <c r="I26" s="195"/>
      <c r="J26" s="195" t="s">
        <v>18</v>
      </c>
      <c r="K26" s="526"/>
      <c r="L26" s="197">
        <f t="shared" si="1"/>
        <v>45.81856788217473</v>
      </c>
      <c r="M26" s="527"/>
      <c r="N26" s="124">
        <f t="shared" si="2"/>
        <v>23.120484116651824</v>
      </c>
      <c r="O26" s="124">
        <f t="shared" si="12"/>
        <v>79.83894333323205</v>
      </c>
      <c r="P26" s="124">
        <f t="shared" si="13"/>
        <v>10.64519244443094</v>
      </c>
      <c r="Q26" s="113"/>
      <c r="R26" s="113"/>
      <c r="S26" s="113"/>
      <c r="T26" s="113"/>
      <c r="U26" s="113"/>
      <c r="V26" s="520"/>
      <c r="W26" s="239"/>
      <c r="X26" s="245"/>
      <c r="Y26" s="239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2"/>
      <c r="AP26" s="12"/>
      <c r="AQ26" s="11"/>
      <c r="AR26" s="11"/>
      <c r="AS26" s="11"/>
      <c r="AV26" s="71">
        <f t="shared" si="3"/>
        <v>78.18143211782527</v>
      </c>
      <c r="AW26" s="71">
        <f t="shared" si="4"/>
        <v>78.18143211782527</v>
      </c>
      <c r="AX26" s="71">
        <f t="shared" si="5"/>
        <v>0</v>
      </c>
      <c r="AY26" s="71">
        <f t="shared" si="14"/>
        <v>224.05759018450038</v>
      </c>
      <c r="AZ26" s="71">
        <f t="shared" si="15"/>
        <v>224.05759018450038</v>
      </c>
      <c r="BA26" s="72">
        <f t="shared" si="24"/>
      </c>
      <c r="BB26" s="71">
        <f t="shared" si="22"/>
        <v>0</v>
      </c>
      <c r="BC26" s="73">
        <f t="shared" si="25"/>
        <v>100</v>
      </c>
      <c r="BD26" s="73">
        <f t="shared" si="16"/>
        <v>0</v>
      </c>
      <c r="BE26" s="71">
        <f t="shared" si="6"/>
        <v>45.81856788217473</v>
      </c>
      <c r="BF26" s="71">
        <f t="shared" si="7"/>
        <v>0</v>
      </c>
      <c r="BG26" s="74">
        <f t="shared" si="8"/>
        <v>78.18143211782527</v>
      </c>
      <c r="BK26" s="14">
        <f t="shared" si="17"/>
        <v>178.18143211782527</v>
      </c>
      <c r="BL26" s="14">
        <f t="shared" si="18"/>
        <v>0</v>
      </c>
      <c r="BM26" s="14">
        <f t="shared" si="19"/>
        <v>1</v>
      </c>
      <c r="BN26" s="14">
        <f t="shared" si="9"/>
        <v>1</v>
      </c>
      <c r="BO26" s="1">
        <f t="shared" si="10"/>
        <v>0</v>
      </c>
      <c r="BP26" s="14">
        <f t="shared" si="20"/>
        <v>1</v>
      </c>
      <c r="BQ26" s="14">
        <f t="shared" si="21"/>
        <v>1</v>
      </c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J26" s="482"/>
      <c r="CK26" s="483"/>
      <c r="CL26" s="483"/>
      <c r="CM26" s="479"/>
    </row>
    <row r="27" spans="1:91" ht="14.25">
      <c r="A27" s="239"/>
      <c r="B27" s="458" t="s">
        <v>67</v>
      </c>
      <c r="C27" s="65">
        <v>31</v>
      </c>
      <c r="D27" s="233">
        <f t="shared" si="11"/>
        <v>213</v>
      </c>
      <c r="E27" s="66">
        <v>18.666666666666668</v>
      </c>
      <c r="F27" s="67">
        <v>58</v>
      </c>
      <c r="G27" s="464">
        <f t="shared" si="0"/>
        <v>10.9766012052602</v>
      </c>
      <c r="H27" s="195">
        <f t="shared" si="23"/>
        <v>7.347752288042284</v>
      </c>
      <c r="I27" s="195"/>
      <c r="J27" s="195" t="s">
        <v>18</v>
      </c>
      <c r="K27" s="526"/>
      <c r="L27" s="197">
        <f t="shared" si="1"/>
        <v>55.64777546287411</v>
      </c>
      <c r="M27" s="527"/>
      <c r="N27" s="124">
        <f t="shared" si="2"/>
        <v>17.913187969938228</v>
      </c>
      <c r="O27" s="124">
        <f t="shared" si="12"/>
        <v>82.3245090394515</v>
      </c>
      <c r="P27" s="124">
        <f t="shared" si="13"/>
        <v>10.9766012052602</v>
      </c>
      <c r="Q27" s="113"/>
      <c r="R27" s="113"/>
      <c r="S27" s="113"/>
      <c r="T27" s="113"/>
      <c r="U27" s="113"/>
      <c r="V27" s="520"/>
      <c r="W27" s="239"/>
      <c r="X27" s="245"/>
      <c r="Y27" s="239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12"/>
      <c r="AP27" s="12"/>
      <c r="AQ27" s="11"/>
      <c r="AR27" s="11"/>
      <c r="AS27" s="11"/>
      <c r="AV27" s="71">
        <f t="shared" si="3"/>
        <v>2.352224537125892</v>
      </c>
      <c r="AW27" s="71">
        <f t="shared" si="4"/>
        <v>2.352224537125892</v>
      </c>
      <c r="AX27" s="71">
        <f t="shared" si="5"/>
        <v>0</v>
      </c>
      <c r="AY27" s="71">
        <f t="shared" si="14"/>
        <v>226.40981472162628</v>
      </c>
      <c r="AZ27" s="71">
        <f t="shared" si="15"/>
        <v>226.40981472162628</v>
      </c>
      <c r="BA27" s="72">
        <f t="shared" si="24"/>
      </c>
      <c r="BB27" s="71">
        <f t="shared" si="22"/>
        <v>0</v>
      </c>
      <c r="BC27" s="73">
        <f t="shared" si="25"/>
        <v>100</v>
      </c>
      <c r="BD27" s="73">
        <f t="shared" si="16"/>
        <v>0</v>
      </c>
      <c r="BE27" s="71">
        <f t="shared" si="6"/>
        <v>55.64777546287411</v>
      </c>
      <c r="BF27" s="71">
        <f t="shared" si="7"/>
        <v>0</v>
      </c>
      <c r="BG27" s="74">
        <f t="shared" si="8"/>
        <v>2.352224537125892</v>
      </c>
      <c r="BK27" s="14">
        <f t="shared" si="17"/>
        <v>180.53365665495116</v>
      </c>
      <c r="BL27" s="14">
        <f t="shared" si="18"/>
        <v>0</v>
      </c>
      <c r="BM27" s="14">
        <f t="shared" si="19"/>
        <v>1</v>
      </c>
      <c r="BN27" s="14">
        <f t="shared" si="9"/>
        <v>1</v>
      </c>
      <c r="BO27" s="1">
        <f t="shared" si="10"/>
        <v>0</v>
      </c>
      <c r="BP27" s="14">
        <f t="shared" si="20"/>
        <v>1</v>
      </c>
      <c r="BQ27" s="14">
        <f t="shared" si="21"/>
        <v>1</v>
      </c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J27" s="482"/>
      <c r="CK27" s="483"/>
      <c r="CL27" s="483"/>
      <c r="CM27" s="479"/>
    </row>
    <row r="28" spans="1:91" ht="14.25">
      <c r="A28" s="239"/>
      <c r="B28" s="458" t="s">
        <v>68</v>
      </c>
      <c r="C28" s="65">
        <v>30</v>
      </c>
      <c r="D28" s="233">
        <f t="shared" si="11"/>
        <v>244</v>
      </c>
      <c r="E28" s="66">
        <v>20.433333333333334</v>
      </c>
      <c r="F28" s="67">
        <v>38</v>
      </c>
      <c r="G28" s="464">
        <f t="shared" si="0"/>
        <v>11.571611357173294</v>
      </c>
      <c r="H28" s="195">
        <f t="shared" si="23"/>
        <v>8.425835814155054</v>
      </c>
      <c r="I28" s="195"/>
      <c r="J28" s="195" t="s">
        <v>18</v>
      </c>
      <c r="K28" s="526"/>
      <c r="L28" s="197">
        <f t="shared" si="1"/>
        <v>70.49880732704926</v>
      </c>
      <c r="M28" s="527"/>
      <c r="N28" s="124">
        <f t="shared" si="2"/>
        <v>7.724628908165237</v>
      </c>
      <c r="O28" s="124">
        <f t="shared" si="12"/>
        <v>86.78708517879971</v>
      </c>
      <c r="P28" s="124">
        <f t="shared" si="13"/>
        <v>11.571611357173294</v>
      </c>
      <c r="Q28" s="113"/>
      <c r="R28" s="113"/>
      <c r="S28" s="113"/>
      <c r="T28" s="113"/>
      <c r="U28" s="113"/>
      <c r="V28" s="520"/>
      <c r="W28" s="239"/>
      <c r="X28" s="245"/>
      <c r="Y28" s="23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12"/>
      <c r="AP28" s="12"/>
      <c r="AQ28" s="11"/>
      <c r="AR28" s="11"/>
      <c r="AS28" s="11"/>
      <c r="AV28" s="71">
        <f t="shared" si="3"/>
        <v>-32.49880732704926</v>
      </c>
      <c r="AW28" s="71">
        <f t="shared" si="4"/>
        <v>0</v>
      </c>
      <c r="AX28" s="71">
        <f t="shared" si="5"/>
        <v>-32.49880732704926</v>
      </c>
      <c r="AY28" s="71">
        <f t="shared" si="14"/>
        <v>0</v>
      </c>
      <c r="AZ28" s="71">
        <f t="shared" si="15"/>
        <v>0</v>
      </c>
      <c r="BA28" s="72">
        <f t="shared" si="24"/>
      </c>
      <c r="BB28" s="71">
        <f t="shared" si="22"/>
        <v>-32.49880732704926</v>
      </c>
      <c r="BC28" s="73">
        <f t="shared" si="25"/>
        <v>72.25359710817696</v>
      </c>
      <c r="BD28" s="73">
        <f t="shared" si="16"/>
        <v>-27.74640289182304</v>
      </c>
      <c r="BE28" s="71">
        <f t="shared" si="6"/>
        <v>65.74640289182304</v>
      </c>
      <c r="BF28" s="71">
        <f t="shared" si="7"/>
        <v>4.752404435226225</v>
      </c>
      <c r="BG28" s="74">
        <f t="shared" si="8"/>
        <v>0</v>
      </c>
      <c r="BK28" s="14">
        <f t="shared" si="17"/>
        <v>72.25359710817696</v>
      </c>
      <c r="BL28" s="14">
        <f t="shared" si="18"/>
        <v>0</v>
      </c>
      <c r="BM28" s="14">
        <f t="shared" si="19"/>
        <v>1</v>
      </c>
      <c r="BN28" s="14">
        <f t="shared" si="9"/>
        <v>0</v>
      </c>
      <c r="BO28" s="1">
        <f t="shared" si="10"/>
        <v>0</v>
      </c>
      <c r="BP28" s="14">
        <f t="shared" si="20"/>
        <v>1</v>
      </c>
      <c r="BQ28" s="14">
        <f t="shared" si="21"/>
        <v>1</v>
      </c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J28" s="482"/>
      <c r="CK28" s="483"/>
      <c r="CL28" s="483"/>
      <c r="CM28" s="479"/>
    </row>
    <row r="29" spans="1:91" ht="14.25">
      <c r="A29" s="239"/>
      <c r="B29" s="458" t="s">
        <v>69</v>
      </c>
      <c r="C29" s="65">
        <v>31</v>
      </c>
      <c r="D29" s="233">
        <f t="shared" si="11"/>
        <v>274</v>
      </c>
      <c r="E29" s="66">
        <v>22.166666666666668</v>
      </c>
      <c r="F29" s="66">
        <v>17</v>
      </c>
      <c r="G29" s="464">
        <f t="shared" si="0"/>
        <v>12.232698603039257</v>
      </c>
      <c r="H29" s="195">
        <f t="shared" si="23"/>
        <v>9.531248765546389</v>
      </c>
      <c r="I29" s="195"/>
      <c r="J29" s="195" t="s">
        <v>18</v>
      </c>
      <c r="K29" s="526"/>
      <c r="L29" s="197">
        <f t="shared" si="1"/>
        <v>93.59065531119448</v>
      </c>
      <c r="M29" s="527"/>
      <c r="N29" s="124">
        <f t="shared" si="2"/>
        <v>-4.2155264352644215</v>
      </c>
      <c r="O29" s="124">
        <f t="shared" si="12"/>
        <v>91.74523952279442</v>
      </c>
      <c r="P29" s="124">
        <f t="shared" si="13"/>
        <v>12.232698603039257</v>
      </c>
      <c r="Q29" s="113"/>
      <c r="R29" s="113"/>
      <c r="S29" s="113"/>
      <c r="T29" s="113"/>
      <c r="U29" s="113"/>
      <c r="V29" s="520"/>
      <c r="W29" s="239"/>
      <c r="X29" s="245"/>
      <c r="Y29" s="23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12"/>
      <c r="AP29" s="12"/>
      <c r="AQ29" s="11"/>
      <c r="AR29" s="11"/>
      <c r="AS29" s="11"/>
      <c r="AV29" s="71">
        <f t="shared" si="3"/>
        <v>-76.59065531119448</v>
      </c>
      <c r="AW29" s="71">
        <f t="shared" si="4"/>
        <v>0</v>
      </c>
      <c r="AX29" s="71">
        <f t="shared" si="5"/>
        <v>-76.59065531119448</v>
      </c>
      <c r="AY29" s="71">
        <f t="shared" si="14"/>
        <v>0</v>
      </c>
      <c r="AZ29" s="71">
        <f t="shared" si="15"/>
        <v>0</v>
      </c>
      <c r="BA29" s="72">
        <f t="shared" si="24"/>
      </c>
      <c r="BB29" s="71">
        <f t="shared" si="22"/>
        <v>-109.08946263824375</v>
      </c>
      <c r="BC29" s="73">
        <f t="shared" si="25"/>
        <v>33.59158400676439</v>
      </c>
      <c r="BD29" s="73">
        <f t="shared" si="16"/>
        <v>-38.66201310141257</v>
      </c>
      <c r="BE29" s="71">
        <f t="shared" si="6"/>
        <v>55.66201310141257</v>
      </c>
      <c r="BF29" s="71">
        <f t="shared" si="7"/>
        <v>37.92864220978191</v>
      </c>
      <c r="BG29" s="74">
        <f t="shared" si="8"/>
        <v>0</v>
      </c>
      <c r="BK29" s="14">
        <f t="shared" si="17"/>
        <v>33.59158400676439</v>
      </c>
      <c r="BL29" s="14">
        <f t="shared" si="18"/>
        <v>0</v>
      </c>
      <c r="BM29" s="14">
        <f t="shared" si="19"/>
        <v>1</v>
      </c>
      <c r="BN29" s="14">
        <f t="shared" si="9"/>
        <v>0</v>
      </c>
      <c r="BO29" s="1">
        <f t="shared" si="10"/>
        <v>0</v>
      </c>
      <c r="BP29" s="14">
        <f t="shared" si="20"/>
        <v>1</v>
      </c>
      <c r="BQ29" s="14">
        <f t="shared" si="21"/>
        <v>1</v>
      </c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J29" s="482"/>
      <c r="CK29" s="483"/>
      <c r="CL29" s="483"/>
      <c r="CM29" s="479"/>
    </row>
    <row r="30" spans="1:86" ht="12.75">
      <c r="A30" s="239"/>
      <c r="B30" s="458" t="s">
        <v>70</v>
      </c>
      <c r="C30" s="65">
        <v>30</v>
      </c>
      <c r="D30" s="233">
        <f t="shared" si="11"/>
        <v>305</v>
      </c>
      <c r="E30" s="66">
        <v>23</v>
      </c>
      <c r="F30" s="66">
        <v>19</v>
      </c>
      <c r="G30" s="464">
        <f t="shared" si="0"/>
        <v>12.869164890928198</v>
      </c>
      <c r="H30" s="195">
        <f t="shared" si="23"/>
        <v>10.078951541481514</v>
      </c>
      <c r="I30" s="195"/>
      <c r="J30" s="195" t="s">
        <v>18</v>
      </c>
      <c r="K30" s="526"/>
      <c r="L30" s="197">
        <f t="shared" si="1"/>
        <v>104.08836142065391</v>
      </c>
      <c r="M30" s="527"/>
      <c r="N30" s="124">
        <f t="shared" si="2"/>
        <v>-15.363416576553035</v>
      </c>
      <c r="O30" s="124">
        <f t="shared" si="12"/>
        <v>96.51873668196149</v>
      </c>
      <c r="P30" s="124">
        <f t="shared" si="13"/>
        <v>12.869164890928198</v>
      </c>
      <c r="Q30" s="113"/>
      <c r="R30" s="113"/>
      <c r="S30" s="113"/>
      <c r="T30" s="113"/>
      <c r="U30" s="113"/>
      <c r="V30" s="520"/>
      <c r="W30" s="239"/>
      <c r="X30" s="245"/>
      <c r="Y30" s="239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2"/>
      <c r="AP30" s="12"/>
      <c r="AQ30" s="11"/>
      <c r="AR30" s="11"/>
      <c r="AS30" s="11"/>
      <c r="AV30" s="71">
        <f t="shared" si="3"/>
        <v>-85.08836142065391</v>
      </c>
      <c r="AW30" s="71">
        <f t="shared" si="4"/>
        <v>0</v>
      </c>
      <c r="AX30" s="71">
        <f t="shared" si="5"/>
        <v>-85.08836142065391</v>
      </c>
      <c r="AY30" s="71">
        <f t="shared" si="14"/>
        <v>0</v>
      </c>
      <c r="AZ30" s="71">
        <f t="shared" si="15"/>
        <v>0</v>
      </c>
      <c r="BA30" s="72">
        <f t="shared" si="24"/>
      </c>
      <c r="BB30" s="71">
        <f t="shared" si="22"/>
        <v>-194.17782405889767</v>
      </c>
      <c r="BC30" s="73">
        <f t="shared" si="25"/>
        <v>14.344863665277074</v>
      </c>
      <c r="BD30" s="73">
        <f t="shared" si="16"/>
        <v>-19.24672034148732</v>
      </c>
      <c r="BE30" s="71">
        <f t="shared" si="6"/>
        <v>38.24672034148732</v>
      </c>
      <c r="BF30" s="71">
        <f t="shared" si="7"/>
        <v>65.84164107916659</v>
      </c>
      <c r="BG30" s="74">
        <f t="shared" si="8"/>
        <v>0</v>
      </c>
      <c r="BK30" s="14">
        <f t="shared" si="17"/>
        <v>14.344863665277074</v>
      </c>
      <c r="BL30" s="14">
        <f t="shared" si="18"/>
        <v>0</v>
      </c>
      <c r="BM30" s="14">
        <f t="shared" si="19"/>
        <v>1</v>
      </c>
      <c r="BN30" s="14">
        <f t="shared" si="9"/>
        <v>0</v>
      </c>
      <c r="BO30" s="1">
        <f t="shared" si="10"/>
        <v>0</v>
      </c>
      <c r="BP30" s="14">
        <f t="shared" si="20"/>
        <v>1</v>
      </c>
      <c r="BQ30" s="14">
        <f t="shared" si="21"/>
        <v>1</v>
      </c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13.5" thickBot="1">
      <c r="A31" s="239"/>
      <c r="B31" s="458" t="s">
        <v>71</v>
      </c>
      <c r="C31" s="65">
        <v>31</v>
      </c>
      <c r="D31" s="233">
        <f t="shared" si="11"/>
        <v>335</v>
      </c>
      <c r="E31" s="66">
        <v>23.8</v>
      </c>
      <c r="F31" s="66">
        <v>21</v>
      </c>
      <c r="G31" s="464">
        <f t="shared" si="0"/>
        <v>13.288337848957879</v>
      </c>
      <c r="H31" s="195">
        <f t="shared" si="23"/>
        <v>10.614436088488544</v>
      </c>
      <c r="I31" s="195"/>
      <c r="J31" s="195" t="s">
        <v>18</v>
      </c>
      <c r="K31" s="526"/>
      <c r="L31" s="530">
        <f t="shared" si="1"/>
        <v>120.53776222461424</v>
      </c>
      <c r="M31" s="527"/>
      <c r="N31" s="124">
        <f t="shared" si="2"/>
        <v>-22.107748812505363</v>
      </c>
      <c r="O31" s="124">
        <f t="shared" si="12"/>
        <v>99.6625338671841</v>
      </c>
      <c r="P31" s="124">
        <f t="shared" si="13"/>
        <v>13.288337848957879</v>
      </c>
      <c r="Q31" s="113"/>
      <c r="R31" s="113"/>
      <c r="S31" s="113"/>
      <c r="T31" s="113"/>
      <c r="U31" s="113"/>
      <c r="V31" s="521"/>
      <c r="W31" s="239"/>
      <c r="X31" s="245"/>
      <c r="Y31" s="239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12"/>
      <c r="AP31" s="12"/>
      <c r="AQ31" s="11"/>
      <c r="AR31" s="11"/>
      <c r="AS31" s="11"/>
      <c r="AV31" s="71">
        <f t="shared" si="3"/>
        <v>-99.53776222461424</v>
      </c>
      <c r="AW31" s="71">
        <f t="shared" si="4"/>
        <v>0</v>
      </c>
      <c r="AX31" s="71">
        <f t="shared" si="5"/>
        <v>-99.53776222461424</v>
      </c>
      <c r="AY31" s="71">
        <f t="shared" si="14"/>
        <v>0</v>
      </c>
      <c r="AZ31" s="71">
        <f t="shared" si="15"/>
        <v>0</v>
      </c>
      <c r="BA31" s="72">
        <f t="shared" si="24"/>
      </c>
      <c r="BB31" s="71">
        <f t="shared" si="22"/>
        <v>-293.7155862835119</v>
      </c>
      <c r="BC31" s="73">
        <f t="shared" si="25"/>
        <v>5.3016300143569275</v>
      </c>
      <c r="BD31" s="73">
        <f t="shared" si="16"/>
        <v>-9.043233650920147</v>
      </c>
      <c r="BE31" s="71">
        <f t="shared" si="6"/>
        <v>30.043233650920147</v>
      </c>
      <c r="BF31" s="71">
        <f t="shared" si="7"/>
        <v>90.4945285736941</v>
      </c>
      <c r="BG31" s="74">
        <f t="shared" si="8"/>
        <v>0</v>
      </c>
      <c r="BK31" s="14">
        <f t="shared" si="17"/>
        <v>5.3016300143569275</v>
      </c>
      <c r="BL31" s="14">
        <f t="shared" si="18"/>
        <v>0</v>
      </c>
      <c r="BM31" s="14">
        <f t="shared" si="19"/>
        <v>1</v>
      </c>
      <c r="BN31" s="14">
        <f t="shared" si="9"/>
        <v>0</v>
      </c>
      <c r="BO31" s="1">
        <f t="shared" si="10"/>
        <v>0</v>
      </c>
      <c r="BP31" s="14">
        <f t="shared" si="20"/>
        <v>1</v>
      </c>
      <c r="BQ31" s="14">
        <f t="shared" si="21"/>
        <v>1</v>
      </c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13.5" customHeight="1">
      <c r="A32" s="239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35"/>
      <c r="M32" s="484"/>
      <c r="N32" s="484"/>
      <c r="O32" s="484"/>
      <c r="P32" s="484"/>
      <c r="Q32" s="484"/>
      <c r="R32" s="484"/>
      <c r="S32" s="484"/>
      <c r="T32" s="484"/>
      <c r="U32" s="484"/>
      <c r="V32" s="69"/>
      <c r="W32" s="239"/>
      <c r="X32" s="245"/>
      <c r="Y32" s="239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12"/>
      <c r="AP32" s="12"/>
      <c r="AQ32" s="11"/>
      <c r="AR32" s="11"/>
      <c r="AS32" s="11"/>
      <c r="AT32" s="13"/>
      <c r="AV32" s="6" t="s">
        <v>72</v>
      </c>
      <c r="AW32" s="6">
        <f>SUM(AX20:AX31)/BK13</f>
        <v>-4.479838733620484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K32" s="14"/>
      <c r="BL32" s="14"/>
      <c r="BM32" s="14"/>
      <c r="BN32" s="1"/>
      <c r="BO32" s="1"/>
      <c r="BP32" s="14"/>
      <c r="BQ32" s="14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7" ht="13.5" customHeight="1">
      <c r="A33" s="239"/>
      <c r="B33" s="239"/>
      <c r="C33" s="239"/>
      <c r="D33" s="239"/>
      <c r="E33" s="239"/>
      <c r="F33" s="239"/>
      <c r="G33" s="375" t="s">
        <v>60</v>
      </c>
      <c r="H33" s="376">
        <f>SUM(H20:H31)</f>
        <v>108.34316583747254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69"/>
      <c r="W33" s="239"/>
      <c r="X33" s="245"/>
      <c r="Y33" s="239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12"/>
      <c r="AP33" s="12"/>
      <c r="AQ33" s="11"/>
      <c r="AR33" s="11"/>
      <c r="AS33" s="11"/>
      <c r="AT33" s="13"/>
      <c r="AV33" s="6" t="s">
        <v>73</v>
      </c>
      <c r="AW33" s="6">
        <f>(SUM(AW20:AW31)/BK13)+0.0000000001</f>
        <v>2.264098147316263</v>
      </c>
      <c r="AX33" s="6"/>
      <c r="AY33" s="6" t="s">
        <v>18</v>
      </c>
      <c r="AZ33" s="6"/>
      <c r="BA33" s="6"/>
      <c r="BB33" s="6"/>
      <c r="BC33" s="6"/>
      <c r="BD33" s="6"/>
      <c r="BE33" s="6"/>
      <c r="BF33" s="6"/>
      <c r="BG33" s="6"/>
      <c r="BK33" s="14"/>
      <c r="BL33" s="14"/>
      <c r="BM33" s="14">
        <f>SUM(BM20:BM31)</f>
        <v>7</v>
      </c>
      <c r="BN33" s="1"/>
      <c r="BO33" s="1"/>
      <c r="BP33" s="14">
        <f>SUM(BP20:BP31)</f>
        <v>7</v>
      </c>
      <c r="BQ33" s="14"/>
      <c r="BR33" s="16">
        <f>LARGE(AZ20:AZ31,1)</f>
        <v>226.40981472162628</v>
      </c>
      <c r="BS33" s="16">
        <f>SUM(BA20:BA31)</f>
        <v>0</v>
      </c>
      <c r="BT33" s="16"/>
      <c r="BU33" s="16"/>
      <c r="BV33" s="16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81"/>
    </row>
    <row r="34" spans="1:87" ht="13.5" customHeight="1" thickBot="1">
      <c r="A34" s="239"/>
      <c r="B34" s="83" t="s">
        <v>74</v>
      </c>
      <c r="C34" s="84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  <c r="R34" s="73"/>
      <c r="S34" s="71"/>
      <c r="T34" s="71"/>
      <c r="U34" s="71"/>
      <c r="V34" s="69"/>
      <c r="W34" s="239"/>
      <c r="X34" s="245"/>
      <c r="Y34" s="239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12"/>
      <c r="AP34" s="12"/>
      <c r="AQ34" s="11"/>
      <c r="AR34" s="11"/>
      <c r="AS34" s="11"/>
      <c r="AT34" s="13"/>
      <c r="AV34" s="485" t="s">
        <v>75</v>
      </c>
      <c r="AW34" s="6">
        <f>1-EXP(AW32)</f>
        <v>0.9886647589994445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K34" s="14"/>
      <c r="BL34" s="14"/>
      <c r="BN34" s="14"/>
      <c r="BO34" s="14"/>
      <c r="BP34" s="14"/>
      <c r="BQ34" s="14"/>
      <c r="BS34" s="14"/>
      <c r="BT34" s="16"/>
      <c r="BU34" s="16"/>
      <c r="BV34" s="16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81"/>
    </row>
    <row r="35" spans="1:87" ht="13.5" customHeight="1">
      <c r="A35" s="239"/>
      <c r="B35" s="87" t="str">
        <f>B17</f>
        <v>Decêndios</v>
      </c>
      <c r="C35" s="37" t="str">
        <f aca="true" t="shared" si="26" ref="C35:H35">C17</f>
        <v>Num</v>
      </c>
      <c r="D35" s="33" t="str">
        <f t="shared" si="26"/>
        <v>NDA</v>
      </c>
      <c r="E35" s="33" t="str">
        <f t="shared" si="26"/>
        <v>T</v>
      </c>
      <c r="F35" s="33" t="str">
        <f t="shared" si="26"/>
        <v>P</v>
      </c>
      <c r="G35" s="33" t="str">
        <f t="shared" si="26"/>
        <v>N</v>
      </c>
      <c r="H35" s="33" t="str">
        <f t="shared" si="26"/>
        <v>I</v>
      </c>
      <c r="I35" s="33" t="str">
        <f aca="true" t="shared" si="27" ref="I35:I49">L17</f>
        <v>ETP</v>
      </c>
      <c r="J35" s="33" t="s">
        <v>33</v>
      </c>
      <c r="K35" s="33"/>
      <c r="L35" s="33" t="s">
        <v>37</v>
      </c>
      <c r="M35" s="37" t="s">
        <v>38</v>
      </c>
      <c r="N35" s="38" t="s">
        <v>39</v>
      </c>
      <c r="O35" s="33" t="s">
        <v>40</v>
      </c>
      <c r="P35" s="33" t="s">
        <v>41</v>
      </c>
      <c r="Q35" s="34" t="s">
        <v>42</v>
      </c>
      <c r="R35" s="239"/>
      <c r="S35" s="239"/>
      <c r="T35" s="239"/>
      <c r="U35" s="239"/>
      <c r="V35" s="277"/>
      <c r="W35" s="243"/>
      <c r="X35" s="245"/>
      <c r="Y35" s="239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12"/>
      <c r="AP35" s="12"/>
      <c r="AQ35" s="11"/>
      <c r="AR35" s="11"/>
      <c r="AS35" s="11"/>
      <c r="AT35" s="13"/>
      <c r="AV35" s="16"/>
      <c r="AW35" s="16"/>
      <c r="AX35" s="16"/>
      <c r="AY35" s="16"/>
      <c r="AZ35" s="16"/>
      <c r="BA35" s="16"/>
      <c r="BB35" s="16" t="s">
        <v>18</v>
      </c>
      <c r="BC35" s="16"/>
      <c r="BD35" s="24"/>
      <c r="BE35" s="24" t="s">
        <v>18</v>
      </c>
      <c r="BF35" s="16"/>
      <c r="BG35" s="16"/>
      <c r="BI35" s="33" t="s">
        <v>34</v>
      </c>
      <c r="BJ35" s="33" t="s">
        <v>35</v>
      </c>
      <c r="BK35" s="39"/>
      <c r="BL35" s="39"/>
      <c r="BM35" s="40"/>
      <c r="BN35" s="39" t="s">
        <v>43</v>
      </c>
      <c r="BO35" s="40" t="s">
        <v>43</v>
      </c>
      <c r="BP35" s="40"/>
      <c r="BQ35" s="39" t="s">
        <v>18</v>
      </c>
      <c r="BR35" s="40"/>
      <c r="BS35" s="14"/>
      <c r="BT35" s="16"/>
      <c r="BU35" s="16"/>
      <c r="BV35" s="16"/>
      <c r="BW35" s="16"/>
      <c r="BX35" s="16"/>
      <c r="BY35" s="16"/>
      <c r="BZ35" s="16"/>
      <c r="CA35" s="16"/>
      <c r="CB35" s="16" t="s">
        <v>18</v>
      </c>
      <c r="CC35" s="16"/>
      <c r="CD35" s="16"/>
      <c r="CE35" s="24"/>
      <c r="CF35" s="24">
        <f>ABS(CH35)</f>
        <v>9.88</v>
      </c>
      <c r="CG35" s="16"/>
      <c r="CH35" s="16">
        <v>-9.88</v>
      </c>
      <c r="CI35" s="81"/>
    </row>
    <row r="36" spans="1:86" s="86" customFormat="1" ht="13.5" customHeight="1">
      <c r="A36" s="239"/>
      <c r="B36" s="91" t="str">
        <f aca="true" t="shared" si="28" ref="B36:H49">B18</f>
        <v> </v>
      </c>
      <c r="C36" s="51" t="str">
        <f t="shared" si="28"/>
        <v>de</v>
      </c>
      <c r="D36" s="44" t="str">
        <f t="shared" si="28"/>
        <v> </v>
      </c>
      <c r="E36" s="44" t="str">
        <f t="shared" si="28"/>
        <v>oC</v>
      </c>
      <c r="F36" s="44" t="str">
        <f t="shared" si="28"/>
        <v>mm</v>
      </c>
      <c r="G36" s="44" t="str">
        <f t="shared" si="28"/>
        <v>horas</v>
      </c>
      <c r="H36" s="44" t="str">
        <f t="shared" si="28"/>
        <v> </v>
      </c>
      <c r="I36" s="44" t="str">
        <f t="shared" si="27"/>
        <v>Thornthwaite</v>
      </c>
      <c r="J36" s="44" t="s">
        <v>47</v>
      </c>
      <c r="K36" s="44"/>
      <c r="L36" s="44"/>
      <c r="M36" s="51" t="s">
        <v>47</v>
      </c>
      <c r="N36" s="52" t="s">
        <v>47</v>
      </c>
      <c r="O36" s="44" t="s">
        <v>47</v>
      </c>
      <c r="P36" s="44" t="s">
        <v>47</v>
      </c>
      <c r="Q36" s="53" t="s">
        <v>47</v>
      </c>
      <c r="R36" s="243"/>
      <c r="S36" s="243"/>
      <c r="T36" s="239"/>
      <c r="U36" s="239"/>
      <c r="V36" s="277"/>
      <c r="W36" s="243"/>
      <c r="X36" s="243"/>
      <c r="Y36" s="243"/>
      <c r="AB36" s="1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7"/>
      <c r="AP36" s="487"/>
      <c r="AQ36" s="488"/>
      <c r="AR36" s="488"/>
      <c r="AS36" s="488"/>
      <c r="AT36" s="90"/>
      <c r="AV36" s="16" t="s">
        <v>76</v>
      </c>
      <c r="AW36" s="489">
        <f>IF(AW33&gt;=AW34,0,-(-LN(AW33/AW34))*BK13)</f>
        <v>0</v>
      </c>
      <c r="AX36" s="16"/>
      <c r="AY36" s="16"/>
      <c r="AZ36" s="16"/>
      <c r="BA36" s="6"/>
      <c r="BB36" s="6"/>
      <c r="BC36" s="16"/>
      <c r="BD36" s="24"/>
      <c r="BE36" s="24"/>
      <c r="BF36" s="16"/>
      <c r="BG36" s="16"/>
      <c r="BI36" s="50" t="s">
        <v>51</v>
      </c>
      <c r="BJ36" s="50" t="s">
        <v>51</v>
      </c>
      <c r="BK36" s="39"/>
      <c r="BL36" s="39"/>
      <c r="BM36" s="40"/>
      <c r="BN36" s="39">
        <v>2</v>
      </c>
      <c r="BO36" s="39">
        <v>1</v>
      </c>
      <c r="BP36" s="39"/>
      <c r="BQ36" s="39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</row>
    <row r="37" spans="1:86" s="86" customFormat="1" ht="13.5" customHeight="1" thickBot="1">
      <c r="A37" s="239"/>
      <c r="B37" s="490" t="str">
        <f t="shared" si="28"/>
        <v> </v>
      </c>
      <c r="C37" s="491" t="str">
        <f t="shared" si="28"/>
        <v>dias</v>
      </c>
      <c r="D37" s="492" t="str">
        <f t="shared" si="28"/>
        <v> </v>
      </c>
      <c r="E37" s="492" t="str">
        <f t="shared" si="28"/>
        <v> </v>
      </c>
      <c r="F37" s="492" t="str">
        <f t="shared" si="28"/>
        <v> </v>
      </c>
      <c r="G37" s="492" t="str">
        <f t="shared" si="28"/>
        <v> </v>
      </c>
      <c r="H37" s="492" t="str">
        <f t="shared" si="28"/>
        <v> </v>
      </c>
      <c r="I37" s="493">
        <f t="shared" si="27"/>
        <v>1948</v>
      </c>
      <c r="J37" s="492" t="s">
        <v>18</v>
      </c>
      <c r="K37" s="492"/>
      <c r="L37" s="492"/>
      <c r="M37" s="491" t="s">
        <v>18</v>
      </c>
      <c r="N37" s="494" t="s">
        <v>18</v>
      </c>
      <c r="O37" s="492" t="s">
        <v>18</v>
      </c>
      <c r="P37" s="492" t="s">
        <v>18</v>
      </c>
      <c r="Q37" s="495" t="s">
        <v>18</v>
      </c>
      <c r="R37" s="243"/>
      <c r="S37" s="243"/>
      <c r="T37" s="239"/>
      <c r="U37" s="239"/>
      <c r="V37" s="277"/>
      <c r="W37" s="243"/>
      <c r="X37" s="243"/>
      <c r="Y37" s="243"/>
      <c r="AB37" s="1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7"/>
      <c r="AP37" s="487"/>
      <c r="AQ37" s="488"/>
      <c r="AR37" s="488"/>
      <c r="AS37" s="488"/>
      <c r="AT37" s="90"/>
      <c r="AV37" s="1"/>
      <c r="AW37" s="1"/>
      <c r="AX37" s="1"/>
      <c r="AY37" s="1"/>
      <c r="AZ37" s="1">
        <f>0.838024*100</f>
        <v>83.8024</v>
      </c>
      <c r="BA37" s="1"/>
      <c r="BB37" s="1"/>
      <c r="BC37" s="1"/>
      <c r="BD37" s="1"/>
      <c r="BE37" s="1"/>
      <c r="BF37" s="1"/>
      <c r="BG37" s="1"/>
      <c r="BI37" s="492" t="s">
        <v>47</v>
      </c>
      <c r="BJ37" s="492" t="s">
        <v>47</v>
      </c>
      <c r="BK37" s="39"/>
      <c r="BL37" s="39"/>
      <c r="BM37" s="40"/>
      <c r="BN37" s="39" t="s">
        <v>18</v>
      </c>
      <c r="BO37" s="39" t="s">
        <v>18</v>
      </c>
      <c r="BP37" s="39"/>
      <c r="BQ37" s="39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</row>
    <row r="38" spans="1:86" s="86" customFormat="1" ht="13.5" customHeight="1">
      <c r="A38" s="239"/>
      <c r="B38" s="96" t="str">
        <f t="shared" si="28"/>
        <v>Jan</v>
      </c>
      <c r="C38" s="233">
        <f t="shared" si="28"/>
        <v>31</v>
      </c>
      <c r="D38" s="233">
        <f>D20</f>
        <v>1</v>
      </c>
      <c r="E38" s="71">
        <f t="shared" si="28"/>
        <v>24.5</v>
      </c>
      <c r="F38" s="71">
        <f t="shared" si="28"/>
        <v>41</v>
      </c>
      <c r="G38" s="71">
        <f t="shared" si="28"/>
        <v>13.347611227418474</v>
      </c>
      <c r="H38" s="71">
        <f t="shared" si="28"/>
        <v>11.090646556799774</v>
      </c>
      <c r="I38" s="73">
        <f t="shared" si="27"/>
        <v>129.77889326529206</v>
      </c>
      <c r="J38" s="71">
        <f aca="true" t="shared" si="29" ref="J38:J49">F38-I38</f>
        <v>-88.77889326529206</v>
      </c>
      <c r="K38" s="71"/>
      <c r="L38" s="71">
        <f>IF(BQ38=0,0,IF(J38&lt;0,BB31+J38,IF(J38&gt;=0,cadm*LN(M38/cadm))))</f>
        <v>-382.49447954880395</v>
      </c>
      <c r="M38" s="73">
        <f aca="true" t="shared" si="30" ref="M38:M49">IF(BQ38=1,IF(BK38&gt;cadm,cadm,BK38),0)</f>
        <v>2.181964004037487</v>
      </c>
      <c r="N38" s="73">
        <f>IF(AND($BM$5=2,BQ38=1,BQ31=0),BJ38,IF(BQ38=1,M38-BC31,""))</f>
        <v>-3.1196660103194405</v>
      </c>
      <c r="O38" s="71">
        <f aca="true" t="shared" si="31" ref="O38:O49">IF(BQ38=1,IF(J38&gt;=0,I38,IF(N38&lt;0,F38+ABS(N38),I38)),"")</f>
        <v>44.11966601031944</v>
      </c>
      <c r="P38" s="71">
        <f aca="true" t="shared" si="32" ref="P38:P49">IF(BQ38=1,I38-O38,"")</f>
        <v>85.65922725497262</v>
      </c>
      <c r="Q38" s="74">
        <f aca="true" t="shared" si="33" ref="Q38:Q49">IF(BQ38=1,IF(M38&lt;cadm,0,IF(M38=cadm,J38-N38)),"")</f>
        <v>0</v>
      </c>
      <c r="R38" s="243"/>
      <c r="S38" s="243"/>
      <c r="T38" s="239"/>
      <c r="U38" s="239"/>
      <c r="V38" s="69"/>
      <c r="W38" s="239"/>
      <c r="X38" s="243"/>
      <c r="Y38" s="243"/>
      <c r="AB38" s="1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7"/>
      <c r="AP38" s="487"/>
      <c r="AQ38" s="488"/>
      <c r="AR38" s="488"/>
      <c r="AS38" s="488"/>
      <c r="AT38" s="90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I38" s="71">
        <f>IF(J38&gt;0,AY31+J38,AY31)</f>
        <v>0</v>
      </c>
      <c r="BJ38" s="71">
        <f>IF(J38&gt;0,J38+AZ31,0)</f>
        <v>0</v>
      </c>
      <c r="BK38" s="14">
        <f>IF(BQ38=0,0,IF(J38&lt;0,cadm*EXP(L38/cadm),IF(J38&gt;=0,BK31+ABS(J38))))</f>
        <v>2.181964004037487</v>
      </c>
      <c r="BL38" s="14"/>
      <c r="BM38" s="6"/>
      <c r="BN38" s="14">
        <f aca="true" t="shared" si="34" ref="BN38:BN49">IF(BI38=$BR$33,1,0)</f>
        <v>0</v>
      </c>
      <c r="BO38" s="14">
        <f>IF(OR(BI38&gt;=cadm,BM31=1),1,0)</f>
        <v>1</v>
      </c>
      <c r="BP38" s="14"/>
      <c r="BQ38" s="14">
        <f>IF($BM$33&lt;&gt;0,IF(OR(BO38=1,BQ31=1),1,0),IF(OR(BN38=1,BQ31=1),1,0))</f>
        <v>1</v>
      </c>
      <c r="BR38" s="6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</row>
    <row r="39" spans="1:69" ht="12.75">
      <c r="A39" s="239"/>
      <c r="B39" s="96" t="str">
        <f t="shared" si="28"/>
        <v>Fev</v>
      </c>
      <c r="C39" s="233">
        <f t="shared" si="28"/>
        <v>28</v>
      </c>
      <c r="D39" s="233">
        <f t="shared" si="28"/>
        <v>32</v>
      </c>
      <c r="E39" s="71">
        <f t="shared" si="28"/>
        <v>24.53333333333333</v>
      </c>
      <c r="F39" s="71">
        <f t="shared" si="28"/>
        <v>55</v>
      </c>
      <c r="G39" s="71">
        <f t="shared" si="28"/>
        <v>12.99910153194861</v>
      </c>
      <c r="H39" s="71">
        <f t="shared" si="28"/>
        <v>11.113499766073087</v>
      </c>
      <c r="I39" s="73">
        <f t="shared" si="27"/>
        <v>114.53131391806194</v>
      </c>
      <c r="J39" s="71">
        <f t="shared" si="29"/>
        <v>-59.53131391806194</v>
      </c>
      <c r="K39" s="71"/>
      <c r="L39" s="71">
        <f aca="true" t="shared" si="35" ref="L39:L49">IF(BQ39=0,0,IF(J39&lt;0,L38+J39,IF(J39&gt;=0,cadm*LN(M39/cadm))))</f>
        <v>-442.0257934668659</v>
      </c>
      <c r="M39" s="73">
        <f t="shared" si="30"/>
        <v>1.2031128639292943</v>
      </c>
      <c r="N39" s="73">
        <f aca="true" t="shared" si="36" ref="N39:N49">IF(AND($BM$5=2,BQ39=1,BQ38=0),BJ39,IF(BQ39=1,M39-M38,""))</f>
        <v>-0.9788511401081927</v>
      </c>
      <c r="O39" s="71">
        <f t="shared" si="31"/>
        <v>55.97885114010819</v>
      </c>
      <c r="P39" s="71">
        <f t="shared" si="32"/>
        <v>58.55246277795375</v>
      </c>
      <c r="Q39" s="74">
        <f t="shared" si="33"/>
        <v>0</v>
      </c>
      <c r="R39" s="239"/>
      <c r="S39" s="239"/>
      <c r="T39" s="239"/>
      <c r="U39" s="239"/>
      <c r="V39" s="69"/>
      <c r="W39" s="239"/>
      <c r="X39" s="245"/>
      <c r="Y39" s="23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2"/>
      <c r="AP39" s="12"/>
      <c r="AQ39" s="11"/>
      <c r="AR39" s="11"/>
      <c r="AS39" s="11"/>
      <c r="AT39" s="13"/>
      <c r="BI39" s="71">
        <f aca="true" t="shared" si="37" ref="BI39:BI49">IF(J39&gt;0,BI38+J39,BI38)</f>
        <v>0</v>
      </c>
      <c r="BJ39" s="71">
        <f aca="true" t="shared" si="38" ref="BJ39:BJ49">IF(J39&gt;0,J39+BJ38,0)</f>
        <v>0</v>
      </c>
      <c r="BK39" s="14">
        <f aca="true" t="shared" si="39" ref="BK39:BK49">IF(BQ39=0,0,IF(J39&lt;0,cadm*EXP(L39/cadm),IF(J39&gt;=0,BK38+ABS(J39))))</f>
        <v>1.2031128639292943</v>
      </c>
      <c r="BL39" s="14"/>
      <c r="BN39" s="14">
        <f t="shared" si="34"/>
        <v>0</v>
      </c>
      <c r="BO39" s="14">
        <f>IF(OR(BI39&gt;=cadm,BM32=1),1,0)</f>
        <v>0</v>
      </c>
      <c r="BP39" s="14"/>
      <c r="BQ39" s="14">
        <f aca="true" t="shared" si="40" ref="BQ39:BQ49">IF($BM$33&lt;&gt;0,IF(OR(BO39=1,BQ38=1),1,0),IF(OR(BN39=1,BQ38=1),1,0))</f>
        <v>1</v>
      </c>
    </row>
    <row r="40" spans="1:69" ht="12.75">
      <c r="A40" s="239"/>
      <c r="B40" s="96" t="str">
        <f t="shared" si="28"/>
        <v>Mar</v>
      </c>
      <c r="C40" s="233">
        <f t="shared" si="28"/>
        <v>31</v>
      </c>
      <c r="D40" s="233">
        <f t="shared" si="28"/>
        <v>60</v>
      </c>
      <c r="E40" s="71">
        <f t="shared" si="28"/>
        <v>23.166666666666668</v>
      </c>
      <c r="F40" s="71">
        <f t="shared" si="28"/>
        <v>100</v>
      </c>
      <c r="G40" s="71">
        <f t="shared" si="28"/>
        <v>12.460415467324731</v>
      </c>
      <c r="H40" s="71">
        <f t="shared" si="28"/>
        <v>10.189733552191761</v>
      </c>
      <c r="I40" s="73">
        <f t="shared" si="27"/>
        <v>105.9580798951825</v>
      </c>
      <c r="J40" s="71">
        <f t="shared" si="29"/>
        <v>-5.958079895182493</v>
      </c>
      <c r="K40" s="71"/>
      <c r="L40" s="71">
        <f t="shared" si="35"/>
        <v>-447.98387336204837</v>
      </c>
      <c r="M40" s="73">
        <f t="shared" si="30"/>
        <v>1.1335241000555494</v>
      </c>
      <c r="N40" s="73">
        <f t="shared" si="36"/>
        <v>-0.06958876387374491</v>
      </c>
      <c r="O40" s="71">
        <f t="shared" si="31"/>
        <v>100.06958876387374</v>
      </c>
      <c r="P40" s="71">
        <f t="shared" si="32"/>
        <v>5.888491131308754</v>
      </c>
      <c r="Q40" s="74">
        <f t="shared" si="33"/>
        <v>0</v>
      </c>
      <c r="R40" s="239"/>
      <c r="S40" s="239"/>
      <c r="T40" s="239"/>
      <c r="U40" s="239"/>
      <c r="V40" s="69"/>
      <c r="W40" s="239"/>
      <c r="X40" s="245"/>
      <c r="Y40" s="239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2"/>
      <c r="AP40" s="12"/>
      <c r="AQ40" s="11"/>
      <c r="AR40" s="11"/>
      <c r="AS40" s="11"/>
      <c r="AT40" s="13"/>
      <c r="AZ40" s="13"/>
      <c r="BA40" s="13"/>
      <c r="BB40" s="13"/>
      <c r="BC40" s="13"/>
      <c r="BD40" s="13"/>
      <c r="BE40" s="13"/>
      <c r="BI40" s="71">
        <f t="shared" si="37"/>
        <v>0</v>
      </c>
      <c r="BJ40" s="71">
        <f t="shared" si="38"/>
        <v>0</v>
      </c>
      <c r="BK40" s="14">
        <f t="shared" si="39"/>
        <v>1.1335241000555494</v>
      </c>
      <c r="BL40" s="14"/>
      <c r="BN40" s="14">
        <f t="shared" si="34"/>
        <v>0</v>
      </c>
      <c r="BO40" s="14">
        <f aca="true" t="shared" si="41" ref="BO40:BO49">IF(OR(BI40&gt;=cadm,BM33=1),1,0)</f>
        <v>0</v>
      </c>
      <c r="BP40" s="14"/>
      <c r="BQ40" s="14">
        <f t="shared" si="40"/>
        <v>1</v>
      </c>
    </row>
    <row r="41" spans="1:69" ht="12.75">
      <c r="A41" s="239"/>
      <c r="B41" s="96" t="str">
        <f t="shared" si="28"/>
        <v>Abr</v>
      </c>
      <c r="C41" s="233">
        <f t="shared" si="28"/>
        <v>30</v>
      </c>
      <c r="D41" s="233">
        <f t="shared" si="28"/>
        <v>91</v>
      </c>
      <c r="E41" s="71">
        <f t="shared" si="28"/>
        <v>21.333333333333332</v>
      </c>
      <c r="F41" s="71">
        <f t="shared" si="28"/>
        <v>129</v>
      </c>
      <c r="G41" s="71">
        <f t="shared" si="28"/>
        <v>11.778309912910203</v>
      </c>
      <c r="H41" s="71">
        <f t="shared" si="28"/>
        <v>8.994029638780034</v>
      </c>
      <c r="I41" s="73">
        <f t="shared" si="27"/>
        <v>79.5609186350188</v>
      </c>
      <c r="J41" s="71">
        <f t="shared" si="29"/>
        <v>49.439081364981206</v>
      </c>
      <c r="K41" s="71"/>
      <c r="L41" s="71">
        <f t="shared" si="35"/>
        <v>-68.17601502729104</v>
      </c>
      <c r="M41" s="73">
        <f t="shared" si="30"/>
        <v>50.57260546503676</v>
      </c>
      <c r="N41" s="73">
        <f t="shared" si="36"/>
        <v>49.439081364981206</v>
      </c>
      <c r="O41" s="71">
        <f t="shared" si="31"/>
        <v>79.5609186350188</v>
      </c>
      <c r="P41" s="71">
        <f t="shared" si="32"/>
        <v>0</v>
      </c>
      <c r="Q41" s="74">
        <f t="shared" si="33"/>
        <v>0</v>
      </c>
      <c r="R41" s="239"/>
      <c r="S41" s="239"/>
      <c r="T41" s="239"/>
      <c r="U41" s="239"/>
      <c r="V41" s="69"/>
      <c r="W41" s="239"/>
      <c r="X41" s="245"/>
      <c r="Y41" s="23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2"/>
      <c r="AP41" s="12"/>
      <c r="AQ41" s="11"/>
      <c r="AR41" s="11"/>
      <c r="AS41" s="11"/>
      <c r="AT41" s="13"/>
      <c r="AZ41" s="13"/>
      <c r="BA41" s="13"/>
      <c r="BB41" s="13"/>
      <c r="BC41" s="13"/>
      <c r="BD41" s="13"/>
      <c r="BE41" s="13"/>
      <c r="BI41" s="71">
        <f t="shared" si="37"/>
        <v>49.439081364981206</v>
      </c>
      <c r="BJ41" s="71">
        <f t="shared" si="38"/>
        <v>49.439081364981206</v>
      </c>
      <c r="BK41" s="14">
        <f t="shared" si="39"/>
        <v>50.57260546503676</v>
      </c>
      <c r="BL41" s="14"/>
      <c r="BN41" s="14">
        <f t="shared" si="34"/>
        <v>0</v>
      </c>
      <c r="BO41" s="14">
        <f t="shared" si="41"/>
        <v>0</v>
      </c>
      <c r="BP41" s="14"/>
      <c r="BQ41" s="14">
        <f t="shared" si="40"/>
        <v>1</v>
      </c>
    </row>
    <row r="42" spans="1:69" ht="12.75">
      <c r="A42" s="239"/>
      <c r="B42" s="96" t="str">
        <f t="shared" si="28"/>
        <v>Mai</v>
      </c>
      <c r="C42" s="233">
        <f t="shared" si="28"/>
        <v>31</v>
      </c>
      <c r="D42" s="233">
        <f t="shared" si="28"/>
        <v>121</v>
      </c>
      <c r="E42" s="71">
        <f t="shared" si="28"/>
        <v>19.2</v>
      </c>
      <c r="F42" s="71">
        <f t="shared" si="28"/>
        <v>95</v>
      </c>
      <c r="G42" s="71">
        <f t="shared" si="28"/>
        <v>11.158352822190409</v>
      </c>
      <c r="H42" s="71">
        <f t="shared" si="28"/>
        <v>7.667918243057767</v>
      </c>
      <c r="I42" s="73">
        <f t="shared" si="27"/>
        <v>60.517183972617424</v>
      </c>
      <c r="J42" s="71">
        <f t="shared" si="29"/>
        <v>34.482816027382576</v>
      </c>
      <c r="K42" s="71"/>
      <c r="L42" s="71">
        <f t="shared" si="35"/>
        <v>-16.186712441099683</v>
      </c>
      <c r="M42" s="73">
        <f t="shared" si="30"/>
        <v>85.05542149241933</v>
      </c>
      <c r="N42" s="73">
        <f t="shared" si="36"/>
        <v>34.48281602738257</v>
      </c>
      <c r="O42" s="71">
        <f t="shared" si="31"/>
        <v>60.517183972617424</v>
      </c>
      <c r="P42" s="71">
        <f t="shared" si="32"/>
        <v>0</v>
      </c>
      <c r="Q42" s="74">
        <f t="shared" si="33"/>
        <v>0</v>
      </c>
      <c r="R42" s="239"/>
      <c r="S42" s="239"/>
      <c r="T42" s="239"/>
      <c r="U42" s="239"/>
      <c r="V42" s="69"/>
      <c r="W42" s="239"/>
      <c r="X42" s="245"/>
      <c r="Y42" s="239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2"/>
      <c r="AP42" s="12"/>
      <c r="AQ42" s="11"/>
      <c r="AR42" s="11"/>
      <c r="AS42" s="11"/>
      <c r="AT42" s="13"/>
      <c r="AZ42" s="13"/>
      <c r="BA42" s="13"/>
      <c r="BB42" s="13"/>
      <c r="BC42" s="13"/>
      <c r="BD42" s="13"/>
      <c r="BE42" s="13"/>
      <c r="BI42" s="71">
        <f t="shared" si="37"/>
        <v>83.92189739236377</v>
      </c>
      <c r="BJ42" s="71">
        <f t="shared" si="38"/>
        <v>83.92189739236377</v>
      </c>
      <c r="BK42" s="14">
        <f t="shared" si="39"/>
        <v>85.05542149241933</v>
      </c>
      <c r="BL42" s="14"/>
      <c r="BN42" s="14">
        <f t="shared" si="34"/>
        <v>0</v>
      </c>
      <c r="BO42" s="14">
        <f t="shared" si="41"/>
        <v>0</v>
      </c>
      <c r="BP42" s="14"/>
      <c r="BQ42" s="14">
        <f t="shared" si="40"/>
        <v>1</v>
      </c>
    </row>
    <row r="43" spans="1:69" ht="12.75">
      <c r="A43" s="239"/>
      <c r="B43" s="96" t="str">
        <f t="shared" si="28"/>
        <v>Jun</v>
      </c>
      <c r="C43" s="233">
        <f t="shared" si="28"/>
        <v>30</v>
      </c>
      <c r="D43" s="233">
        <f t="shared" si="28"/>
        <v>152</v>
      </c>
      <c r="E43" s="71">
        <f t="shared" si="28"/>
        <v>17.5</v>
      </c>
      <c r="F43" s="71">
        <f t="shared" si="28"/>
        <v>107</v>
      </c>
      <c r="G43" s="71">
        <f t="shared" si="28"/>
        <v>10.716095136155413</v>
      </c>
      <c r="H43" s="71">
        <f t="shared" si="28"/>
        <v>6.663754965476194</v>
      </c>
      <c r="I43" s="73">
        <f t="shared" si="27"/>
        <v>45.04573932568866</v>
      </c>
      <c r="J43" s="71">
        <f t="shared" si="29"/>
        <v>61.95426067431134</v>
      </c>
      <c r="K43" s="71"/>
      <c r="L43" s="71">
        <f t="shared" si="35"/>
        <v>0</v>
      </c>
      <c r="M43" s="73">
        <f t="shared" si="30"/>
        <v>100</v>
      </c>
      <c r="N43" s="73">
        <f t="shared" si="36"/>
        <v>14.944578507580673</v>
      </c>
      <c r="O43" s="71">
        <f t="shared" si="31"/>
        <v>45.04573932568866</v>
      </c>
      <c r="P43" s="71">
        <f t="shared" si="32"/>
        <v>0</v>
      </c>
      <c r="Q43" s="74">
        <f t="shared" si="33"/>
        <v>47.00968216673067</v>
      </c>
      <c r="R43" s="239"/>
      <c r="S43" s="239"/>
      <c r="T43" s="239"/>
      <c r="U43" s="239"/>
      <c r="V43" s="69"/>
      <c r="W43" s="239"/>
      <c r="X43" s="245"/>
      <c r="Y43" s="239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2"/>
      <c r="AP43" s="12"/>
      <c r="AQ43" s="11"/>
      <c r="AR43" s="11"/>
      <c r="AS43" s="11"/>
      <c r="AT43" s="13"/>
      <c r="AZ43" s="13"/>
      <c r="BA43" s="13"/>
      <c r="BB43" s="13"/>
      <c r="BC43" s="13"/>
      <c r="BD43" s="13"/>
      <c r="BE43" s="13"/>
      <c r="BI43" s="71">
        <f t="shared" si="37"/>
        <v>145.87615806667512</v>
      </c>
      <c r="BJ43" s="71">
        <f t="shared" si="38"/>
        <v>145.87615806667512</v>
      </c>
      <c r="BK43" s="14">
        <f t="shared" si="39"/>
        <v>147.00968216673067</v>
      </c>
      <c r="BL43" s="14"/>
      <c r="BN43" s="14">
        <f t="shared" si="34"/>
        <v>0</v>
      </c>
      <c r="BO43" s="14">
        <f t="shared" si="41"/>
        <v>1</v>
      </c>
      <c r="BP43" s="14"/>
      <c r="BQ43" s="14">
        <f t="shared" si="40"/>
        <v>1</v>
      </c>
    </row>
    <row r="44" spans="1:69" ht="15">
      <c r="A44" s="243"/>
      <c r="B44" s="96" t="str">
        <f t="shared" si="28"/>
        <v>Jul</v>
      </c>
      <c r="C44" s="233">
        <f t="shared" si="28"/>
        <v>31</v>
      </c>
      <c r="D44" s="233">
        <f t="shared" si="28"/>
        <v>182</v>
      </c>
      <c r="E44" s="71">
        <f t="shared" si="28"/>
        <v>17.433333333333334</v>
      </c>
      <c r="F44" s="71">
        <f t="shared" si="28"/>
        <v>124</v>
      </c>
      <c r="G44" s="71">
        <f t="shared" si="28"/>
        <v>10.64519244443094</v>
      </c>
      <c r="H44" s="71">
        <f t="shared" si="28"/>
        <v>6.625358617380126</v>
      </c>
      <c r="I44" s="73">
        <f t="shared" si="27"/>
        <v>45.81856788217473</v>
      </c>
      <c r="J44" s="71">
        <f t="shared" si="29"/>
        <v>78.18143211782527</v>
      </c>
      <c r="K44" s="71"/>
      <c r="L44" s="71">
        <f t="shared" si="35"/>
        <v>0</v>
      </c>
      <c r="M44" s="73">
        <f t="shared" si="30"/>
        <v>100</v>
      </c>
      <c r="N44" s="73">
        <f t="shared" si="36"/>
        <v>0</v>
      </c>
      <c r="O44" s="71">
        <f t="shared" si="31"/>
        <v>45.81856788217473</v>
      </c>
      <c r="P44" s="71">
        <f t="shared" si="32"/>
        <v>0</v>
      </c>
      <c r="Q44" s="74">
        <f t="shared" si="33"/>
        <v>78.18143211782527</v>
      </c>
      <c r="R44" s="239"/>
      <c r="S44" s="239"/>
      <c r="T44" s="239"/>
      <c r="U44" s="239"/>
      <c r="V44" s="69"/>
      <c r="W44" s="239"/>
      <c r="X44" s="245"/>
      <c r="Y44" s="239"/>
      <c r="AB44" s="486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2"/>
      <c r="AP44" s="12"/>
      <c r="AQ44" s="11"/>
      <c r="AR44" s="11"/>
      <c r="AS44" s="11"/>
      <c r="AT44" s="13"/>
      <c r="AZ44" s="13"/>
      <c r="BA44" s="13"/>
      <c r="BB44" s="13"/>
      <c r="BC44" s="13"/>
      <c r="BD44" s="13"/>
      <c r="BE44" s="13"/>
      <c r="BI44" s="71">
        <f t="shared" si="37"/>
        <v>224.05759018450038</v>
      </c>
      <c r="BJ44" s="71">
        <f t="shared" si="38"/>
        <v>224.05759018450038</v>
      </c>
      <c r="BK44" s="14">
        <f t="shared" si="39"/>
        <v>225.19111428455594</v>
      </c>
      <c r="BL44" s="14"/>
      <c r="BN44" s="14">
        <f t="shared" si="34"/>
        <v>0</v>
      </c>
      <c r="BO44" s="14">
        <f t="shared" si="41"/>
        <v>1</v>
      </c>
      <c r="BP44" s="14"/>
      <c r="BQ44" s="14">
        <f t="shared" si="40"/>
        <v>1</v>
      </c>
    </row>
    <row r="45" spans="1:69" ht="15">
      <c r="A45" s="243"/>
      <c r="B45" s="96" t="str">
        <f t="shared" si="28"/>
        <v>Ago</v>
      </c>
      <c r="C45" s="233">
        <f t="shared" si="28"/>
        <v>31</v>
      </c>
      <c r="D45" s="233">
        <f t="shared" si="28"/>
        <v>213</v>
      </c>
      <c r="E45" s="71">
        <f t="shared" si="28"/>
        <v>18.666666666666668</v>
      </c>
      <c r="F45" s="71">
        <f t="shared" si="28"/>
        <v>58</v>
      </c>
      <c r="G45" s="71">
        <f t="shared" si="28"/>
        <v>10.9766012052602</v>
      </c>
      <c r="H45" s="71">
        <f t="shared" si="28"/>
        <v>7.347752288042284</v>
      </c>
      <c r="I45" s="73">
        <f t="shared" si="27"/>
        <v>55.64777546287411</v>
      </c>
      <c r="J45" s="71">
        <f t="shared" si="29"/>
        <v>2.352224537125892</v>
      </c>
      <c r="K45" s="71"/>
      <c r="L45" s="71">
        <f t="shared" si="35"/>
        <v>0</v>
      </c>
      <c r="M45" s="73">
        <f t="shared" si="30"/>
        <v>100</v>
      </c>
      <c r="N45" s="73">
        <f t="shared" si="36"/>
        <v>0</v>
      </c>
      <c r="O45" s="71">
        <f t="shared" si="31"/>
        <v>55.64777546287411</v>
      </c>
      <c r="P45" s="71">
        <f t="shared" si="32"/>
        <v>0</v>
      </c>
      <c r="Q45" s="74">
        <f t="shared" si="33"/>
        <v>2.352224537125892</v>
      </c>
      <c r="R45" s="239"/>
      <c r="S45" s="239"/>
      <c r="T45" s="239"/>
      <c r="U45" s="239"/>
      <c r="V45" s="69"/>
      <c r="W45" s="239"/>
      <c r="X45" s="245"/>
      <c r="Y45" s="239"/>
      <c r="AB45" s="486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2"/>
      <c r="AP45" s="12"/>
      <c r="AQ45" s="11"/>
      <c r="AR45" s="11"/>
      <c r="AS45" s="11"/>
      <c r="AT45" s="13"/>
      <c r="AZ45" s="13"/>
      <c r="BA45" s="13"/>
      <c r="BB45" s="13"/>
      <c r="BC45" s="13"/>
      <c r="BD45" s="13"/>
      <c r="BE45" s="13"/>
      <c r="BI45" s="71">
        <f t="shared" si="37"/>
        <v>226.40981472162628</v>
      </c>
      <c r="BJ45" s="71">
        <f t="shared" si="38"/>
        <v>226.40981472162628</v>
      </c>
      <c r="BK45" s="14">
        <f t="shared" si="39"/>
        <v>227.54333882168183</v>
      </c>
      <c r="BL45" s="14"/>
      <c r="BN45" s="14">
        <f t="shared" si="34"/>
        <v>1</v>
      </c>
      <c r="BO45" s="14">
        <f t="shared" si="41"/>
        <v>1</v>
      </c>
      <c r="BP45" s="14"/>
      <c r="BQ45" s="14">
        <f t="shared" si="40"/>
        <v>1</v>
      </c>
    </row>
    <row r="46" spans="1:69" ht="15">
      <c r="A46" s="243"/>
      <c r="B46" s="96" t="str">
        <f t="shared" si="28"/>
        <v>Set</v>
      </c>
      <c r="C46" s="233">
        <f t="shared" si="28"/>
        <v>30</v>
      </c>
      <c r="D46" s="233">
        <f t="shared" si="28"/>
        <v>244</v>
      </c>
      <c r="E46" s="71">
        <f t="shared" si="28"/>
        <v>20.433333333333334</v>
      </c>
      <c r="F46" s="71">
        <f t="shared" si="28"/>
        <v>38</v>
      </c>
      <c r="G46" s="71">
        <f t="shared" si="28"/>
        <v>11.571611357173294</v>
      </c>
      <c r="H46" s="71">
        <f t="shared" si="28"/>
        <v>8.425835814155054</v>
      </c>
      <c r="I46" s="73">
        <f t="shared" si="27"/>
        <v>70.49880732704926</v>
      </c>
      <c r="J46" s="71">
        <f t="shared" si="29"/>
        <v>-32.49880732704926</v>
      </c>
      <c r="K46" s="71"/>
      <c r="L46" s="71">
        <f t="shared" si="35"/>
        <v>-32.49880732704926</v>
      </c>
      <c r="M46" s="73">
        <f t="shared" si="30"/>
        <v>72.25359710817696</v>
      </c>
      <c r="N46" s="73">
        <f t="shared" si="36"/>
        <v>-27.74640289182304</v>
      </c>
      <c r="O46" s="71">
        <f t="shared" si="31"/>
        <v>65.74640289182304</v>
      </c>
      <c r="P46" s="71">
        <f t="shared" si="32"/>
        <v>4.752404435226225</v>
      </c>
      <c r="Q46" s="74">
        <f t="shared" si="33"/>
        <v>0</v>
      </c>
      <c r="R46" s="239"/>
      <c r="S46" s="239"/>
      <c r="T46" s="239"/>
      <c r="U46" s="239"/>
      <c r="V46" s="69"/>
      <c r="W46" s="239"/>
      <c r="X46" s="245"/>
      <c r="Y46" s="239"/>
      <c r="AB46" s="486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2"/>
      <c r="AP46" s="12"/>
      <c r="AQ46" s="11"/>
      <c r="AR46" s="11"/>
      <c r="AS46" s="11"/>
      <c r="AT46" s="13"/>
      <c r="AZ46" s="13"/>
      <c r="BA46" s="13"/>
      <c r="BB46" s="13"/>
      <c r="BC46" s="13"/>
      <c r="BD46" s="13"/>
      <c r="BE46" s="13"/>
      <c r="BI46" s="71">
        <f t="shared" si="37"/>
        <v>226.40981472162628</v>
      </c>
      <c r="BJ46" s="71">
        <f t="shared" si="38"/>
        <v>0</v>
      </c>
      <c r="BK46" s="14">
        <f t="shared" si="39"/>
        <v>72.25359710817696</v>
      </c>
      <c r="BL46" s="14"/>
      <c r="BN46" s="14">
        <f t="shared" si="34"/>
        <v>1</v>
      </c>
      <c r="BO46" s="14">
        <f t="shared" si="41"/>
        <v>1</v>
      </c>
      <c r="BP46" s="14"/>
      <c r="BQ46" s="14">
        <f t="shared" si="40"/>
        <v>1</v>
      </c>
    </row>
    <row r="47" spans="1:69" ht="12.75">
      <c r="A47" s="239"/>
      <c r="B47" s="96" t="str">
        <f t="shared" si="28"/>
        <v>Out</v>
      </c>
      <c r="C47" s="233">
        <f t="shared" si="28"/>
        <v>31</v>
      </c>
      <c r="D47" s="233">
        <f t="shared" si="28"/>
        <v>274</v>
      </c>
      <c r="E47" s="71">
        <f t="shared" si="28"/>
        <v>22.166666666666668</v>
      </c>
      <c r="F47" s="71">
        <f t="shared" si="28"/>
        <v>17</v>
      </c>
      <c r="G47" s="71">
        <f t="shared" si="28"/>
        <v>12.232698603039257</v>
      </c>
      <c r="H47" s="71">
        <f t="shared" si="28"/>
        <v>9.531248765546389</v>
      </c>
      <c r="I47" s="73">
        <f t="shared" si="27"/>
        <v>93.59065531119448</v>
      </c>
      <c r="J47" s="71">
        <f t="shared" si="29"/>
        <v>-76.59065531119448</v>
      </c>
      <c r="K47" s="71"/>
      <c r="L47" s="71">
        <f t="shared" si="35"/>
        <v>-109.08946263824375</v>
      </c>
      <c r="M47" s="73">
        <f t="shared" si="30"/>
        <v>33.59158400676439</v>
      </c>
      <c r="N47" s="73">
        <f t="shared" si="36"/>
        <v>-38.66201310141257</v>
      </c>
      <c r="O47" s="71">
        <f t="shared" si="31"/>
        <v>55.66201310141257</v>
      </c>
      <c r="P47" s="71">
        <f t="shared" si="32"/>
        <v>37.92864220978191</v>
      </c>
      <c r="Q47" s="74">
        <f t="shared" si="33"/>
        <v>0</v>
      </c>
      <c r="R47" s="239"/>
      <c r="S47" s="239"/>
      <c r="T47" s="239"/>
      <c r="U47" s="239"/>
      <c r="V47" s="69"/>
      <c r="W47" s="239"/>
      <c r="X47" s="245"/>
      <c r="Y47" s="239"/>
      <c r="AB47" s="4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3"/>
      <c r="AZ47" s="13"/>
      <c r="BA47" s="13"/>
      <c r="BB47" s="13"/>
      <c r="BC47" s="13"/>
      <c r="BD47" s="13"/>
      <c r="BE47" s="13"/>
      <c r="BI47" s="71">
        <f t="shared" si="37"/>
        <v>226.40981472162628</v>
      </c>
      <c r="BJ47" s="71">
        <f t="shared" si="38"/>
        <v>0</v>
      </c>
      <c r="BK47" s="14">
        <f t="shared" si="39"/>
        <v>33.59158400676439</v>
      </c>
      <c r="BL47" s="14"/>
      <c r="BN47" s="14">
        <f t="shared" si="34"/>
        <v>1</v>
      </c>
      <c r="BO47" s="14">
        <f t="shared" si="41"/>
        <v>1</v>
      </c>
      <c r="BP47" s="14"/>
      <c r="BQ47" s="14">
        <f t="shared" si="40"/>
        <v>1</v>
      </c>
    </row>
    <row r="48" spans="1:69" ht="12.75">
      <c r="A48" s="239"/>
      <c r="B48" s="96" t="str">
        <f t="shared" si="28"/>
        <v>Nov</v>
      </c>
      <c r="C48" s="233">
        <f t="shared" si="28"/>
        <v>30</v>
      </c>
      <c r="D48" s="233">
        <f t="shared" si="28"/>
        <v>305</v>
      </c>
      <c r="E48" s="71">
        <f t="shared" si="28"/>
        <v>23</v>
      </c>
      <c r="F48" s="71">
        <f t="shared" si="28"/>
        <v>19</v>
      </c>
      <c r="G48" s="71">
        <f t="shared" si="28"/>
        <v>12.869164890928198</v>
      </c>
      <c r="H48" s="71">
        <f t="shared" si="28"/>
        <v>10.078951541481514</v>
      </c>
      <c r="I48" s="73">
        <f t="shared" si="27"/>
        <v>104.08836142065391</v>
      </c>
      <c r="J48" s="71">
        <f t="shared" si="29"/>
        <v>-85.08836142065391</v>
      </c>
      <c r="K48" s="71"/>
      <c r="L48" s="71">
        <f t="shared" si="35"/>
        <v>-194.17782405889767</v>
      </c>
      <c r="M48" s="73">
        <f t="shared" si="30"/>
        <v>14.344863665277074</v>
      </c>
      <c r="N48" s="73">
        <f t="shared" si="36"/>
        <v>-19.24672034148732</v>
      </c>
      <c r="O48" s="71">
        <f t="shared" si="31"/>
        <v>38.24672034148732</v>
      </c>
      <c r="P48" s="71">
        <f t="shared" si="32"/>
        <v>65.84164107916659</v>
      </c>
      <c r="Q48" s="74">
        <f t="shared" si="33"/>
        <v>0</v>
      </c>
      <c r="R48" s="239"/>
      <c r="S48" s="239"/>
      <c r="T48" s="239"/>
      <c r="U48" s="239"/>
      <c r="V48" s="69"/>
      <c r="W48" s="239"/>
      <c r="X48" s="245"/>
      <c r="Y48" s="239"/>
      <c r="AB48" s="4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3"/>
      <c r="AZ48" s="13"/>
      <c r="BA48" s="13"/>
      <c r="BB48" s="13"/>
      <c r="BC48" s="13"/>
      <c r="BD48" s="13"/>
      <c r="BE48" s="13"/>
      <c r="BI48" s="71">
        <f t="shared" si="37"/>
        <v>226.40981472162628</v>
      </c>
      <c r="BJ48" s="71">
        <f t="shared" si="38"/>
        <v>0</v>
      </c>
      <c r="BK48" s="14">
        <f t="shared" si="39"/>
        <v>14.344863665277074</v>
      </c>
      <c r="BL48" s="14"/>
      <c r="BN48" s="14">
        <f t="shared" si="34"/>
        <v>1</v>
      </c>
      <c r="BO48" s="14">
        <f t="shared" si="41"/>
        <v>1</v>
      </c>
      <c r="BP48" s="14"/>
      <c r="BQ48" s="14">
        <f t="shared" si="40"/>
        <v>1</v>
      </c>
    </row>
    <row r="49" spans="1:69" ht="13.5" thickBot="1">
      <c r="A49" s="239"/>
      <c r="B49" s="96" t="str">
        <f t="shared" si="28"/>
        <v>Dez</v>
      </c>
      <c r="C49" s="233">
        <f t="shared" si="28"/>
        <v>31</v>
      </c>
      <c r="D49" s="233">
        <f t="shared" si="28"/>
        <v>335</v>
      </c>
      <c r="E49" s="71">
        <f t="shared" si="28"/>
        <v>23.8</v>
      </c>
      <c r="F49" s="71">
        <f t="shared" si="28"/>
        <v>21</v>
      </c>
      <c r="G49" s="71">
        <f t="shared" si="28"/>
        <v>13.288337848957879</v>
      </c>
      <c r="H49" s="71">
        <f t="shared" si="28"/>
        <v>10.614436088488544</v>
      </c>
      <c r="I49" s="73">
        <f t="shared" si="27"/>
        <v>120.53776222461424</v>
      </c>
      <c r="J49" s="71">
        <f t="shared" si="29"/>
        <v>-99.53776222461424</v>
      </c>
      <c r="K49" s="71"/>
      <c r="L49" s="71">
        <f t="shared" si="35"/>
        <v>-293.7155862835119</v>
      </c>
      <c r="M49" s="73">
        <f t="shared" si="30"/>
        <v>5.3016300143569275</v>
      </c>
      <c r="N49" s="73">
        <f t="shared" si="36"/>
        <v>-9.043233650920147</v>
      </c>
      <c r="O49" s="71">
        <f t="shared" si="31"/>
        <v>30.043233650920147</v>
      </c>
      <c r="P49" s="71">
        <f t="shared" si="32"/>
        <v>90.4945285736941</v>
      </c>
      <c r="Q49" s="74">
        <f t="shared" si="33"/>
        <v>0</v>
      </c>
      <c r="R49" s="239"/>
      <c r="S49" s="239"/>
      <c r="T49" s="239"/>
      <c r="U49" s="239"/>
      <c r="V49" s="69"/>
      <c r="W49" s="239"/>
      <c r="X49" s="245"/>
      <c r="Y49" s="239"/>
      <c r="AB49" s="4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3"/>
      <c r="AZ49" s="13"/>
      <c r="BA49" s="13"/>
      <c r="BB49" s="13"/>
      <c r="BC49" s="13"/>
      <c r="BD49" s="13"/>
      <c r="BE49" s="13"/>
      <c r="BI49" s="71">
        <f t="shared" si="37"/>
        <v>226.40981472162628</v>
      </c>
      <c r="BJ49" s="71">
        <f t="shared" si="38"/>
        <v>0</v>
      </c>
      <c r="BK49" s="14">
        <f t="shared" si="39"/>
        <v>5.3016300143569275</v>
      </c>
      <c r="BL49" s="14"/>
      <c r="BN49" s="14">
        <f t="shared" si="34"/>
        <v>1</v>
      </c>
      <c r="BO49" s="14">
        <f t="shared" si="41"/>
        <v>1</v>
      </c>
      <c r="BP49" s="14"/>
      <c r="BQ49" s="14">
        <f t="shared" si="40"/>
        <v>1</v>
      </c>
    </row>
    <row r="50" spans="1:69" ht="13.5" thickBot="1">
      <c r="A50" s="239"/>
      <c r="B50" s="101" t="s">
        <v>77</v>
      </c>
      <c r="C50" s="102"/>
      <c r="D50" s="103"/>
      <c r="E50" s="98">
        <f aca="true" t="shared" si="42" ref="E50:J50">SUM(E38:E49)</f>
        <v>255.73333333333335</v>
      </c>
      <c r="F50" s="98">
        <f t="shared" si="42"/>
        <v>804</v>
      </c>
      <c r="G50" s="98">
        <f t="shared" si="42"/>
        <v>144.04349244773758</v>
      </c>
      <c r="H50" s="98">
        <f t="shared" si="42"/>
        <v>108.34316583747254</v>
      </c>
      <c r="I50" s="105">
        <f t="shared" si="42"/>
        <v>1025.5740586404222</v>
      </c>
      <c r="J50" s="98">
        <f t="shared" si="42"/>
        <v>-221.57405864042212</v>
      </c>
      <c r="K50" s="103"/>
      <c r="L50" s="103"/>
      <c r="M50" s="104">
        <f>SUM(M38:M49)</f>
        <v>565.6383027200537</v>
      </c>
      <c r="N50" s="105">
        <f>SUM(N38:N49)</f>
        <v>0</v>
      </c>
      <c r="O50" s="98">
        <f>SUM(O38:O49)</f>
        <v>676.456661178318</v>
      </c>
      <c r="P50" s="98">
        <f>SUM(P38:P49)</f>
        <v>349.1173974621039</v>
      </c>
      <c r="Q50" s="106">
        <f>SUM(Q38:Q49)</f>
        <v>127.54333882168183</v>
      </c>
      <c r="R50" s="239"/>
      <c r="S50" s="239"/>
      <c r="T50" s="239"/>
      <c r="U50" s="239"/>
      <c r="V50" s="69"/>
      <c r="W50" s="69"/>
      <c r="X50" s="245"/>
      <c r="Y50" s="239"/>
      <c r="AB50" s="4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3"/>
      <c r="AZ50" s="13"/>
      <c r="BA50" s="13"/>
      <c r="BB50" s="13"/>
      <c r="BC50" s="13"/>
      <c r="BD50" s="13"/>
      <c r="BE50" s="13"/>
      <c r="BI50" s="98">
        <f>SUM(BI38:BI49)</f>
        <v>1635.343800616652</v>
      </c>
      <c r="BJ50" s="98">
        <f>SUM(BJ38:BJ49)</f>
        <v>729.7045417301467</v>
      </c>
      <c r="BK50" s="14"/>
      <c r="BL50" s="14"/>
      <c r="BN50" s="14"/>
      <c r="BO50" s="14"/>
      <c r="BP50" s="14"/>
      <c r="BQ50" s="14"/>
    </row>
    <row r="51" spans="1:69" ht="13.5" thickBot="1">
      <c r="A51" s="239"/>
      <c r="B51" s="101" t="s">
        <v>78</v>
      </c>
      <c r="C51" s="102"/>
      <c r="D51" s="103"/>
      <c r="E51" s="98">
        <f aca="true" t="shared" si="43" ref="E51:J51">AVERAGE(E38:E49)</f>
        <v>21.311111111111114</v>
      </c>
      <c r="F51" s="98">
        <f t="shared" si="43"/>
        <v>67</v>
      </c>
      <c r="G51" s="98">
        <f t="shared" si="43"/>
        <v>12.003624370644799</v>
      </c>
      <c r="H51" s="98">
        <f t="shared" si="43"/>
        <v>9.028597153122712</v>
      </c>
      <c r="I51" s="105">
        <f t="shared" si="43"/>
        <v>85.46450488670185</v>
      </c>
      <c r="J51" s="98">
        <f t="shared" si="43"/>
        <v>-18.464504886701842</v>
      </c>
      <c r="K51" s="103"/>
      <c r="L51" s="103"/>
      <c r="M51" s="98">
        <f>AVERAGE(M38:M49)</f>
        <v>47.13652522667115</v>
      </c>
      <c r="N51" s="107"/>
      <c r="O51" s="98">
        <f>AVERAGE(O38:O49)</f>
        <v>56.3713884315265</v>
      </c>
      <c r="P51" s="98">
        <f>AVERAGE(P38:P49)</f>
        <v>29.093116455175323</v>
      </c>
      <c r="Q51" s="106">
        <f>AVERAGE(Q38:Q49)</f>
        <v>10.628611568473486</v>
      </c>
      <c r="R51" s="239"/>
      <c r="S51" s="239"/>
      <c r="T51" s="239"/>
      <c r="U51" s="239"/>
      <c r="V51" s="69"/>
      <c r="W51" s="69"/>
      <c r="X51" s="245"/>
      <c r="Y51" s="239"/>
      <c r="AB51" s="4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3"/>
      <c r="AZ51" s="13"/>
      <c r="BA51" s="13"/>
      <c r="BB51" s="13"/>
      <c r="BC51" s="13"/>
      <c r="BI51" s="98">
        <f>AVERAGE(BI38:BI49)</f>
        <v>136.27865005138767</v>
      </c>
      <c r="BJ51" s="98">
        <f>AVERAGE(BJ38:BJ49)</f>
        <v>60.80871181084556</v>
      </c>
      <c r="BK51" s="16">
        <f>AVERAGE(BK38:BK49)</f>
        <v>72.11520316608518</v>
      </c>
      <c r="BL51" s="16"/>
      <c r="BN51" s="14"/>
      <c r="BO51" s="16" t="s">
        <v>18</v>
      </c>
      <c r="BP51" s="16"/>
      <c r="BQ51" s="16" t="s">
        <v>18</v>
      </c>
    </row>
    <row r="52" spans="1:69" ht="12.75">
      <c r="A52" s="239"/>
      <c r="B52" s="212"/>
      <c r="C52" s="233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233"/>
      <c r="R52" s="73"/>
      <c r="S52" s="71"/>
      <c r="T52" s="71"/>
      <c r="U52" s="71"/>
      <c r="V52" s="69"/>
      <c r="W52" s="69"/>
      <c r="X52" s="245"/>
      <c r="Y52" s="239"/>
      <c r="AB52" s="4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3"/>
      <c r="AZ52" s="13"/>
      <c r="BA52" s="13"/>
      <c r="BB52" s="13"/>
      <c r="BC52" s="13"/>
      <c r="BK52" s="14"/>
      <c r="BL52" s="14"/>
      <c r="BQ52" s="16"/>
    </row>
    <row r="53" spans="1:55" ht="12.7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45"/>
      <c r="Y53" s="239"/>
      <c r="AB53" s="4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3"/>
      <c r="AZ53" s="13"/>
      <c r="BA53" s="13"/>
      <c r="BB53" s="13"/>
      <c r="BC53" s="13"/>
    </row>
    <row r="54" spans="1:69" ht="14.25">
      <c r="A54" s="239"/>
      <c r="B54" s="47" t="s">
        <v>79</v>
      </c>
      <c r="C54" s="48"/>
      <c r="D54" s="49"/>
      <c r="E54" s="273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45"/>
      <c r="Y54" s="239"/>
      <c r="AB54" s="4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3"/>
      <c r="AZ54" s="13"/>
      <c r="BA54" s="13"/>
      <c r="BB54" s="13"/>
      <c r="BC54" s="13"/>
      <c r="BK54" s="14"/>
      <c r="BL54" s="14"/>
      <c r="BQ54" s="16"/>
    </row>
    <row r="55" spans="1:69" ht="14.25">
      <c r="A55" s="239"/>
      <c r="B55" s="59" t="s">
        <v>80</v>
      </c>
      <c r="C55" s="60" t="s">
        <v>81</v>
      </c>
      <c r="D55" s="61" t="s">
        <v>42</v>
      </c>
      <c r="E55" s="496" t="s">
        <v>82</v>
      </c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45"/>
      <c r="Y55" s="239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3"/>
      <c r="AZ55" s="13"/>
      <c r="BA55" s="13"/>
      <c r="BB55" s="13"/>
      <c r="BC55" s="13"/>
      <c r="BK55" s="14"/>
      <c r="BL55" s="14"/>
      <c r="BQ55" s="16"/>
    </row>
    <row r="56" spans="1:69" ht="12.75">
      <c r="A56" s="239"/>
      <c r="B56" s="68" t="str">
        <f aca="true" t="shared" si="44" ref="B56:B67">B20</f>
        <v>Jan</v>
      </c>
      <c r="C56" s="69">
        <f aca="true" t="shared" si="45" ref="C56:C67">P38*-1</f>
        <v>-85.65922725497262</v>
      </c>
      <c r="D56" s="70">
        <f aca="true" t="shared" si="46" ref="D56:D67">Q38</f>
        <v>0</v>
      </c>
      <c r="E56" s="522">
        <f>IF(C56=0,D56,C56)</f>
        <v>-85.65922725497262</v>
      </c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45"/>
      <c r="Y56" s="239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3"/>
      <c r="AZ56" s="13"/>
      <c r="BA56" s="13"/>
      <c r="BB56" s="13"/>
      <c r="BC56" s="13"/>
      <c r="BK56" s="14"/>
      <c r="BL56" s="14"/>
      <c r="BQ56" s="16"/>
    </row>
    <row r="57" spans="1:69" ht="12.75">
      <c r="A57" s="239"/>
      <c r="B57" s="68" t="str">
        <f t="shared" si="44"/>
        <v>Fev</v>
      </c>
      <c r="C57" s="69">
        <f t="shared" si="45"/>
        <v>-58.55246277795375</v>
      </c>
      <c r="D57" s="70">
        <f t="shared" si="46"/>
        <v>0</v>
      </c>
      <c r="E57" s="522">
        <f aca="true" t="shared" si="47" ref="E57:E67">IF(C57=0,D57,C57)</f>
        <v>-58.55246277795375</v>
      </c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45"/>
      <c r="Y57" s="239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3"/>
      <c r="AZ57" s="13"/>
      <c r="BA57" s="13"/>
      <c r="BB57" s="13"/>
      <c r="BC57" s="13"/>
      <c r="BK57" s="14"/>
      <c r="BL57" s="14"/>
      <c r="BQ57" s="16"/>
    </row>
    <row r="58" spans="1:69" ht="12.75">
      <c r="A58" s="239"/>
      <c r="B58" s="68" t="str">
        <f t="shared" si="44"/>
        <v>Mar</v>
      </c>
      <c r="C58" s="69">
        <f t="shared" si="45"/>
        <v>-5.888491131308754</v>
      </c>
      <c r="D58" s="70">
        <f t="shared" si="46"/>
        <v>0</v>
      </c>
      <c r="E58" s="522">
        <f t="shared" si="47"/>
        <v>-5.888491131308754</v>
      </c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45"/>
      <c r="Y58" s="239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3"/>
      <c r="AZ58" s="13"/>
      <c r="BA58" s="13"/>
      <c r="BB58" s="13"/>
      <c r="BC58" s="13"/>
      <c r="BK58" s="14"/>
      <c r="BL58" s="14"/>
      <c r="BQ58" s="16"/>
    </row>
    <row r="59" spans="1:69" ht="12.75">
      <c r="A59" s="239"/>
      <c r="B59" s="68" t="str">
        <f t="shared" si="44"/>
        <v>Abr</v>
      </c>
      <c r="C59" s="69">
        <f t="shared" si="45"/>
        <v>0</v>
      </c>
      <c r="D59" s="70">
        <f t="shared" si="46"/>
        <v>0</v>
      </c>
      <c r="E59" s="522">
        <f t="shared" si="47"/>
        <v>0</v>
      </c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45"/>
      <c r="Y59" s="239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3"/>
      <c r="AZ59" s="13"/>
      <c r="BA59" s="13"/>
      <c r="BB59" s="13"/>
      <c r="BC59" s="13"/>
      <c r="BK59" s="14"/>
      <c r="BL59" s="14"/>
      <c r="BQ59" s="16"/>
    </row>
    <row r="60" spans="1:69" ht="12.75">
      <c r="A60" s="239"/>
      <c r="B60" s="68" t="str">
        <f t="shared" si="44"/>
        <v>Mai</v>
      </c>
      <c r="C60" s="69">
        <f t="shared" si="45"/>
        <v>0</v>
      </c>
      <c r="D60" s="70">
        <f t="shared" si="46"/>
        <v>0</v>
      </c>
      <c r="E60" s="522">
        <f t="shared" si="47"/>
        <v>0</v>
      </c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45"/>
      <c r="Y60" s="239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3"/>
      <c r="AZ60" s="13"/>
      <c r="BA60" s="13"/>
      <c r="BB60" s="13"/>
      <c r="BC60" s="13"/>
      <c r="BK60" s="14"/>
      <c r="BL60" s="14"/>
      <c r="BQ60" s="16"/>
    </row>
    <row r="61" spans="1:69" ht="12.75">
      <c r="A61" s="239"/>
      <c r="B61" s="68" t="str">
        <f t="shared" si="44"/>
        <v>Jun</v>
      </c>
      <c r="C61" s="69">
        <f t="shared" si="45"/>
        <v>0</v>
      </c>
      <c r="D61" s="70">
        <f t="shared" si="46"/>
        <v>47.00968216673067</v>
      </c>
      <c r="E61" s="522">
        <f t="shared" si="47"/>
        <v>47.00968216673067</v>
      </c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45"/>
      <c r="Y61" s="239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3"/>
      <c r="AZ61" s="13"/>
      <c r="BA61" s="13"/>
      <c r="BB61" s="13"/>
      <c r="BC61" s="13"/>
      <c r="BK61" s="14"/>
      <c r="BL61" s="14"/>
      <c r="BQ61" s="16"/>
    </row>
    <row r="62" spans="1:69" ht="12.75">
      <c r="A62" s="239"/>
      <c r="B62" s="68" t="str">
        <f t="shared" si="44"/>
        <v>Jul</v>
      </c>
      <c r="C62" s="69">
        <f t="shared" si="45"/>
        <v>0</v>
      </c>
      <c r="D62" s="70">
        <f t="shared" si="46"/>
        <v>78.18143211782527</v>
      </c>
      <c r="E62" s="522">
        <f t="shared" si="47"/>
        <v>78.18143211782527</v>
      </c>
      <c r="F62" s="71"/>
      <c r="G62" s="71"/>
      <c r="H62" s="71"/>
      <c r="I62" s="71"/>
      <c r="J62" s="71"/>
      <c r="K62" s="71" t="s">
        <v>18</v>
      </c>
      <c r="L62" s="71"/>
      <c r="M62" s="71"/>
      <c r="N62" s="71"/>
      <c r="O62" s="71"/>
      <c r="P62" s="71"/>
      <c r="Q62" s="233"/>
      <c r="R62" s="73"/>
      <c r="S62" s="71"/>
      <c r="T62" s="71"/>
      <c r="U62" s="71"/>
      <c r="V62" s="69"/>
      <c r="W62" s="69"/>
      <c r="X62" s="245"/>
      <c r="Y62" s="239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3"/>
      <c r="AZ62" s="13"/>
      <c r="BA62" s="13"/>
      <c r="BB62" s="13"/>
      <c r="BC62" s="13"/>
      <c r="BK62" s="14"/>
      <c r="BL62" s="14"/>
      <c r="BQ62" s="16"/>
    </row>
    <row r="63" spans="1:69" ht="12.75">
      <c r="A63" s="239"/>
      <c r="B63" s="68" t="str">
        <f t="shared" si="44"/>
        <v>Ago</v>
      </c>
      <c r="C63" s="69">
        <f t="shared" si="45"/>
        <v>0</v>
      </c>
      <c r="D63" s="70">
        <f t="shared" si="46"/>
        <v>2.352224537125892</v>
      </c>
      <c r="E63" s="522">
        <f t="shared" si="47"/>
        <v>2.352224537125892</v>
      </c>
      <c r="F63" s="71" t="s">
        <v>18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233"/>
      <c r="R63" s="73"/>
      <c r="S63" s="71"/>
      <c r="T63" s="71"/>
      <c r="U63" s="71"/>
      <c r="V63" s="69"/>
      <c r="W63" s="69"/>
      <c r="X63" s="245"/>
      <c r="Y63" s="239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3"/>
      <c r="AZ63" s="13"/>
      <c r="BA63" s="13"/>
      <c r="BB63" s="13"/>
      <c r="BC63" s="13"/>
      <c r="BK63" s="14"/>
      <c r="BL63" s="14"/>
      <c r="BQ63" s="16"/>
    </row>
    <row r="64" spans="1:69" ht="12.75">
      <c r="A64" s="239"/>
      <c r="B64" s="68" t="str">
        <f t="shared" si="44"/>
        <v>Set</v>
      </c>
      <c r="C64" s="69">
        <f t="shared" si="45"/>
        <v>-4.752404435226225</v>
      </c>
      <c r="D64" s="70">
        <f t="shared" si="46"/>
        <v>0</v>
      </c>
      <c r="E64" s="522">
        <f t="shared" si="47"/>
        <v>-4.752404435226225</v>
      </c>
      <c r="F64" s="71" t="s">
        <v>18</v>
      </c>
      <c r="G64" s="71"/>
      <c r="H64" s="71"/>
      <c r="I64" s="71"/>
      <c r="J64" s="71"/>
      <c r="K64" s="71" t="s">
        <v>18</v>
      </c>
      <c r="L64" s="71"/>
      <c r="M64" s="71"/>
      <c r="N64" s="71"/>
      <c r="O64" s="71"/>
      <c r="P64" s="71"/>
      <c r="Q64" s="233"/>
      <c r="R64" s="73"/>
      <c r="S64" s="71"/>
      <c r="T64" s="71"/>
      <c r="U64" s="71"/>
      <c r="V64" s="69"/>
      <c r="W64" s="69"/>
      <c r="X64" s="245"/>
      <c r="Y64" s="239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3"/>
      <c r="AZ64" s="13"/>
      <c r="BA64" s="13"/>
      <c r="BB64" s="13"/>
      <c r="BC64" s="13"/>
      <c r="BK64" s="14"/>
      <c r="BL64" s="14"/>
      <c r="BQ64" s="16"/>
    </row>
    <row r="65" spans="1:69" ht="12.75">
      <c r="A65" s="239"/>
      <c r="B65" s="68" t="str">
        <f t="shared" si="44"/>
        <v>Out</v>
      </c>
      <c r="C65" s="69">
        <f t="shared" si="45"/>
        <v>-37.92864220978191</v>
      </c>
      <c r="D65" s="70">
        <f t="shared" si="46"/>
        <v>0</v>
      </c>
      <c r="E65" s="522">
        <f t="shared" si="47"/>
        <v>-37.92864220978191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233"/>
      <c r="R65" s="73"/>
      <c r="S65" s="71"/>
      <c r="T65" s="71"/>
      <c r="U65" s="71"/>
      <c r="V65" s="69"/>
      <c r="W65" s="69"/>
      <c r="X65" s="245"/>
      <c r="Y65" s="239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3"/>
      <c r="AZ65" s="13"/>
      <c r="BA65" s="13"/>
      <c r="BB65" s="13"/>
      <c r="BC65" s="13"/>
      <c r="BK65" s="14"/>
      <c r="BL65" s="14"/>
      <c r="BQ65" s="16"/>
    </row>
    <row r="66" spans="1:69" ht="12.75">
      <c r="A66" s="239"/>
      <c r="B66" s="68" t="str">
        <f t="shared" si="44"/>
        <v>Nov</v>
      </c>
      <c r="C66" s="69">
        <f t="shared" si="45"/>
        <v>-65.84164107916659</v>
      </c>
      <c r="D66" s="70">
        <f t="shared" si="46"/>
        <v>0</v>
      </c>
      <c r="E66" s="522">
        <f t="shared" si="47"/>
        <v>-65.84164107916659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233"/>
      <c r="R66" s="73"/>
      <c r="S66" s="71"/>
      <c r="T66" s="71"/>
      <c r="U66" s="71"/>
      <c r="V66" s="69"/>
      <c r="W66" s="69"/>
      <c r="X66" s="245"/>
      <c r="Y66" s="239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3"/>
      <c r="AZ66" s="13"/>
      <c r="BA66" s="13"/>
      <c r="BB66" s="13"/>
      <c r="BC66" s="13"/>
      <c r="BK66" s="14"/>
      <c r="BL66" s="14"/>
      <c r="BQ66" s="16"/>
    </row>
    <row r="67" spans="1:69" ht="12.75">
      <c r="A67" s="239"/>
      <c r="B67" s="75" t="str">
        <f t="shared" si="44"/>
        <v>Dez</v>
      </c>
      <c r="C67" s="76">
        <f t="shared" si="45"/>
        <v>-90.4945285736941</v>
      </c>
      <c r="D67" s="77">
        <f t="shared" si="46"/>
        <v>0</v>
      </c>
      <c r="E67" s="523">
        <f t="shared" si="47"/>
        <v>-90.4945285736941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233"/>
      <c r="R67" s="73"/>
      <c r="S67" s="71"/>
      <c r="T67" s="71"/>
      <c r="U67" s="71"/>
      <c r="V67" s="69"/>
      <c r="W67" s="69"/>
      <c r="X67" s="245"/>
      <c r="Y67" s="239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3"/>
      <c r="AZ67" s="13"/>
      <c r="BA67" s="13"/>
      <c r="BB67" s="13"/>
      <c r="BC67" s="13"/>
      <c r="BK67" s="14"/>
      <c r="BL67" s="14"/>
      <c r="BQ67" s="16"/>
    </row>
    <row r="68" spans="1:64" ht="12.75">
      <c r="A68" s="239"/>
      <c r="B68" s="245"/>
      <c r="C68" s="244"/>
      <c r="D68" s="244"/>
      <c r="E68" s="244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233"/>
      <c r="R68" s="73"/>
      <c r="S68" s="71"/>
      <c r="T68" s="71"/>
      <c r="U68" s="71"/>
      <c r="V68" s="235"/>
      <c r="W68" s="235"/>
      <c r="X68" s="245"/>
      <c r="Y68" s="239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Z68" s="13"/>
      <c r="BA68" s="13"/>
      <c r="BB68" s="13"/>
      <c r="BC68" s="13"/>
      <c r="BK68" s="14"/>
      <c r="BL68" s="14"/>
    </row>
    <row r="69" spans="1:64" ht="12.75">
      <c r="A69" s="239"/>
      <c r="B69" s="245"/>
      <c r="C69" s="244"/>
      <c r="D69" s="244"/>
      <c r="E69" s="244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233"/>
      <c r="R69" s="73"/>
      <c r="S69" s="71"/>
      <c r="T69" s="71"/>
      <c r="U69" s="71"/>
      <c r="V69" s="235"/>
      <c r="W69" s="235"/>
      <c r="X69" s="245"/>
      <c r="Y69" s="239"/>
      <c r="BK69" s="14"/>
      <c r="BL69" s="14"/>
    </row>
    <row r="70" spans="1:64" ht="12.75">
      <c r="A70" s="239"/>
      <c r="B70" s="245"/>
      <c r="C70" s="244"/>
      <c r="D70" s="244"/>
      <c r="E70" s="244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233"/>
      <c r="R70" s="73"/>
      <c r="S70" s="71"/>
      <c r="T70" s="71"/>
      <c r="U70" s="71"/>
      <c r="V70" s="235"/>
      <c r="W70" s="235"/>
      <c r="X70" s="245"/>
      <c r="Y70" s="239"/>
      <c r="BK70" s="14"/>
      <c r="BL70" s="14"/>
    </row>
    <row r="71" spans="1:64" ht="15">
      <c r="A71" s="239"/>
      <c r="B71" s="278"/>
      <c r="C71" s="279"/>
      <c r="D71" s="279"/>
      <c r="E71" s="279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233"/>
      <c r="R71" s="73"/>
      <c r="S71" s="71"/>
      <c r="T71" s="71"/>
      <c r="U71" s="71"/>
      <c r="V71" s="235"/>
      <c r="W71" s="235"/>
      <c r="X71" s="245"/>
      <c r="Y71" s="239"/>
      <c r="BK71" s="14"/>
      <c r="BL71" s="14"/>
    </row>
    <row r="72" spans="1:64" ht="15">
      <c r="A72" s="239"/>
      <c r="B72" s="278"/>
      <c r="C72" s="279"/>
      <c r="D72" s="279"/>
      <c r="E72" s="279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233"/>
      <c r="R72" s="73"/>
      <c r="S72" s="71"/>
      <c r="T72" s="71"/>
      <c r="U72" s="71"/>
      <c r="V72" s="235"/>
      <c r="W72" s="235"/>
      <c r="X72" s="245"/>
      <c r="Y72" s="239"/>
      <c r="BK72" s="14"/>
      <c r="BL72" s="14"/>
    </row>
    <row r="73" spans="1:64" ht="12.75">
      <c r="A73" s="239"/>
      <c r="B73" s="240"/>
      <c r="C73" s="239"/>
      <c r="D73" s="239"/>
      <c r="E73" s="239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233"/>
      <c r="R73" s="73"/>
      <c r="S73" s="71"/>
      <c r="T73" s="71"/>
      <c r="U73" s="71"/>
      <c r="V73" s="235"/>
      <c r="W73" s="235"/>
      <c r="X73" s="245"/>
      <c r="Y73" s="239"/>
      <c r="BK73" s="14"/>
      <c r="BL73" s="14"/>
    </row>
    <row r="74" spans="1:64" ht="12.75">
      <c r="A74" s="239"/>
      <c r="B74" s="240"/>
      <c r="C74" s="239"/>
      <c r="D74" s="239"/>
      <c r="E74" s="239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233"/>
      <c r="R74" s="73"/>
      <c r="S74" s="71"/>
      <c r="T74" s="71"/>
      <c r="U74" s="71"/>
      <c r="V74" s="235"/>
      <c r="W74" s="235"/>
      <c r="X74" s="245"/>
      <c r="Y74" s="239"/>
      <c r="BK74" s="14"/>
      <c r="BL74" s="14"/>
    </row>
    <row r="75" spans="1:64" ht="12.75">
      <c r="A75" s="239"/>
      <c r="B75" s="240"/>
      <c r="C75" s="239"/>
      <c r="D75" s="239"/>
      <c r="E75" s="239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233"/>
      <c r="R75" s="73"/>
      <c r="S75" s="71"/>
      <c r="T75" s="71"/>
      <c r="U75" s="71"/>
      <c r="V75" s="235"/>
      <c r="W75" s="235"/>
      <c r="X75" s="245"/>
      <c r="Y75" s="239"/>
      <c r="BK75" s="14"/>
      <c r="BL75" s="14"/>
    </row>
    <row r="76" spans="1:64" ht="12.75">
      <c r="A76" s="239"/>
      <c r="B76" s="240"/>
      <c r="C76" s="239"/>
      <c r="D76" s="239"/>
      <c r="E76" s="239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233"/>
      <c r="R76" s="73"/>
      <c r="S76" s="71"/>
      <c r="T76" s="71"/>
      <c r="U76" s="71"/>
      <c r="V76" s="235"/>
      <c r="W76" s="235"/>
      <c r="X76" s="245"/>
      <c r="Y76" s="239"/>
      <c r="BK76" s="14"/>
      <c r="BL76" s="14"/>
    </row>
    <row r="77" spans="1:64" ht="12.75">
      <c r="A77" s="239"/>
      <c r="B77" s="240"/>
      <c r="C77" s="239"/>
      <c r="D77" s="239"/>
      <c r="E77" s="239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233"/>
      <c r="R77" s="73"/>
      <c r="S77" s="71"/>
      <c r="T77" s="71"/>
      <c r="U77" s="71"/>
      <c r="V77" s="235"/>
      <c r="W77" s="235"/>
      <c r="X77" s="245"/>
      <c r="Y77" s="239"/>
      <c r="BK77" s="14"/>
      <c r="BL77" s="14"/>
    </row>
    <row r="78" spans="1:64" ht="12.75">
      <c r="A78" s="239"/>
      <c r="B78" s="240"/>
      <c r="C78" s="239"/>
      <c r="D78" s="239"/>
      <c r="E78" s="239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233"/>
      <c r="R78" s="73"/>
      <c r="S78" s="71"/>
      <c r="T78" s="71"/>
      <c r="U78" s="71"/>
      <c r="V78" s="235"/>
      <c r="W78" s="235"/>
      <c r="X78" s="245"/>
      <c r="Y78" s="239"/>
      <c r="BK78" s="14"/>
      <c r="BL78" s="14"/>
    </row>
    <row r="79" spans="1:64" ht="15">
      <c r="A79" s="239"/>
      <c r="B79" s="280" t="s">
        <v>80</v>
      </c>
      <c r="C79" s="280" t="s">
        <v>83</v>
      </c>
      <c r="D79" s="280" t="s">
        <v>32</v>
      </c>
      <c r="E79" s="281" t="s">
        <v>40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233"/>
      <c r="R79" s="73"/>
      <c r="S79" s="71"/>
      <c r="T79" s="71"/>
      <c r="U79" s="71"/>
      <c r="V79" s="235"/>
      <c r="W79" s="235"/>
      <c r="X79" s="245"/>
      <c r="Y79" s="239"/>
      <c r="BK79" s="14"/>
      <c r="BL79" s="14"/>
    </row>
    <row r="80" spans="1:64" ht="12.75">
      <c r="A80" s="239"/>
      <c r="B80" s="68" t="str">
        <f aca="true" t="shared" si="48" ref="B80:B91">B38</f>
        <v>Jan</v>
      </c>
      <c r="C80" s="97">
        <f aca="true" t="shared" si="49" ref="C80:C91">F38</f>
        <v>41</v>
      </c>
      <c r="D80" s="97">
        <f aca="true" t="shared" si="50" ref="D80:D91">I38</f>
        <v>129.77889326529206</v>
      </c>
      <c r="E80" s="70">
        <f aca="true" t="shared" si="51" ref="E80:E91">O38</f>
        <v>44.11966601031944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233"/>
      <c r="R80" s="73"/>
      <c r="S80" s="71"/>
      <c r="T80" s="71"/>
      <c r="U80" s="71"/>
      <c r="V80" s="235"/>
      <c r="W80" s="235"/>
      <c r="X80" s="245"/>
      <c r="Y80" s="239"/>
      <c r="BK80" s="14"/>
      <c r="BL80" s="14"/>
    </row>
    <row r="81" spans="1:64" ht="12.75">
      <c r="A81" s="239"/>
      <c r="B81" s="68" t="str">
        <f t="shared" si="48"/>
        <v>Fev</v>
      </c>
      <c r="C81" s="97">
        <f t="shared" si="49"/>
        <v>55</v>
      </c>
      <c r="D81" s="97">
        <f t="shared" si="50"/>
        <v>114.53131391806194</v>
      </c>
      <c r="E81" s="70">
        <f t="shared" si="51"/>
        <v>55.97885114010819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233"/>
      <c r="R81" s="73"/>
      <c r="S81" s="71"/>
      <c r="T81" s="71"/>
      <c r="U81" s="71"/>
      <c r="V81" s="235"/>
      <c r="W81" s="235"/>
      <c r="X81" s="245"/>
      <c r="Y81" s="239"/>
      <c r="BK81" s="14"/>
      <c r="BL81" s="14"/>
    </row>
    <row r="82" spans="1:64" ht="12.75">
      <c r="A82" s="239"/>
      <c r="B82" s="68" t="str">
        <f t="shared" si="48"/>
        <v>Mar</v>
      </c>
      <c r="C82" s="97">
        <f t="shared" si="49"/>
        <v>100</v>
      </c>
      <c r="D82" s="97">
        <f t="shared" si="50"/>
        <v>105.9580798951825</v>
      </c>
      <c r="E82" s="70">
        <f t="shared" si="51"/>
        <v>100.06958876387374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233"/>
      <c r="R82" s="73"/>
      <c r="S82" s="71"/>
      <c r="T82" s="71"/>
      <c r="U82" s="71"/>
      <c r="V82" s="235"/>
      <c r="W82" s="235"/>
      <c r="X82" s="245"/>
      <c r="Y82" s="239"/>
      <c r="BK82" s="14"/>
      <c r="BL82" s="14"/>
    </row>
    <row r="83" spans="1:64" ht="12.75">
      <c r="A83" s="239"/>
      <c r="B83" s="68" t="str">
        <f t="shared" si="48"/>
        <v>Abr</v>
      </c>
      <c r="C83" s="97">
        <f t="shared" si="49"/>
        <v>129</v>
      </c>
      <c r="D83" s="97">
        <f t="shared" si="50"/>
        <v>79.5609186350188</v>
      </c>
      <c r="E83" s="70">
        <f t="shared" si="51"/>
        <v>79.5609186350188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233"/>
      <c r="R83" s="73"/>
      <c r="S83" s="71"/>
      <c r="T83" s="71"/>
      <c r="U83" s="71"/>
      <c r="V83" s="235"/>
      <c r="W83" s="235"/>
      <c r="X83" s="245"/>
      <c r="Y83" s="239"/>
      <c r="BK83" s="14"/>
      <c r="BL83" s="14"/>
    </row>
    <row r="84" spans="1:64" ht="12.75">
      <c r="A84" s="239"/>
      <c r="B84" s="68" t="str">
        <f t="shared" si="48"/>
        <v>Mai</v>
      </c>
      <c r="C84" s="97">
        <f t="shared" si="49"/>
        <v>95</v>
      </c>
      <c r="D84" s="97">
        <f t="shared" si="50"/>
        <v>60.517183972617424</v>
      </c>
      <c r="E84" s="70">
        <f t="shared" si="51"/>
        <v>60.517183972617424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233"/>
      <c r="R84" s="73"/>
      <c r="S84" s="71"/>
      <c r="T84" s="71"/>
      <c r="U84" s="71"/>
      <c r="V84" s="235"/>
      <c r="W84" s="235"/>
      <c r="X84" s="245"/>
      <c r="Y84" s="239"/>
      <c r="BK84" s="14"/>
      <c r="BL84" s="14"/>
    </row>
    <row r="85" spans="1:64" ht="12.75">
      <c r="A85" s="239"/>
      <c r="B85" s="68" t="str">
        <f t="shared" si="48"/>
        <v>Jun</v>
      </c>
      <c r="C85" s="97">
        <f t="shared" si="49"/>
        <v>107</v>
      </c>
      <c r="D85" s="97">
        <f t="shared" si="50"/>
        <v>45.04573932568866</v>
      </c>
      <c r="E85" s="70">
        <f t="shared" si="51"/>
        <v>45.04573932568866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233"/>
      <c r="R85" s="73"/>
      <c r="S85" s="71"/>
      <c r="T85" s="71"/>
      <c r="U85" s="71"/>
      <c r="V85" s="235"/>
      <c r="W85" s="235"/>
      <c r="X85" s="245"/>
      <c r="Y85" s="239"/>
      <c r="BK85" s="14"/>
      <c r="BL85" s="14"/>
    </row>
    <row r="86" spans="1:64" ht="12.75">
      <c r="A86" s="239"/>
      <c r="B86" s="68" t="str">
        <f t="shared" si="48"/>
        <v>Jul</v>
      </c>
      <c r="C86" s="97">
        <f t="shared" si="49"/>
        <v>124</v>
      </c>
      <c r="D86" s="97">
        <f t="shared" si="50"/>
        <v>45.81856788217473</v>
      </c>
      <c r="E86" s="70">
        <f t="shared" si="51"/>
        <v>45.81856788217473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233"/>
      <c r="R86" s="73"/>
      <c r="S86" s="71"/>
      <c r="T86" s="71"/>
      <c r="U86" s="71"/>
      <c r="V86" s="235"/>
      <c r="W86" s="235"/>
      <c r="X86" s="245"/>
      <c r="Y86" s="239"/>
      <c r="BK86" s="14"/>
      <c r="BL86" s="14"/>
    </row>
    <row r="87" spans="1:64" ht="12.75">
      <c r="A87" s="239"/>
      <c r="B87" s="68" t="str">
        <f t="shared" si="48"/>
        <v>Ago</v>
      </c>
      <c r="C87" s="97">
        <f t="shared" si="49"/>
        <v>58</v>
      </c>
      <c r="D87" s="97">
        <f t="shared" si="50"/>
        <v>55.64777546287411</v>
      </c>
      <c r="E87" s="70">
        <f t="shared" si="51"/>
        <v>55.64777546287411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233"/>
      <c r="R87" s="73"/>
      <c r="S87" s="71"/>
      <c r="T87" s="71"/>
      <c r="U87" s="71"/>
      <c r="V87" s="235"/>
      <c r="W87" s="235"/>
      <c r="X87" s="245"/>
      <c r="Y87" s="239"/>
      <c r="BK87" s="14"/>
      <c r="BL87" s="14"/>
    </row>
    <row r="88" spans="1:64" ht="12.75">
      <c r="A88" s="239"/>
      <c r="B88" s="68" t="str">
        <f t="shared" si="48"/>
        <v>Set</v>
      </c>
      <c r="C88" s="97">
        <f t="shared" si="49"/>
        <v>38</v>
      </c>
      <c r="D88" s="97">
        <f t="shared" si="50"/>
        <v>70.49880732704926</v>
      </c>
      <c r="E88" s="70">
        <f t="shared" si="51"/>
        <v>65.74640289182304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233"/>
      <c r="R88" s="73"/>
      <c r="S88" s="71"/>
      <c r="T88" s="71"/>
      <c r="U88" s="71"/>
      <c r="V88" s="235"/>
      <c r="W88" s="235"/>
      <c r="X88" s="245"/>
      <c r="Y88" s="239"/>
      <c r="BK88" s="14"/>
      <c r="BL88" s="14"/>
    </row>
    <row r="89" spans="1:64" ht="12.75">
      <c r="A89" s="239"/>
      <c r="B89" s="68" t="str">
        <f t="shared" si="48"/>
        <v>Out</v>
      </c>
      <c r="C89" s="97">
        <f t="shared" si="49"/>
        <v>17</v>
      </c>
      <c r="D89" s="97">
        <f t="shared" si="50"/>
        <v>93.59065531119448</v>
      </c>
      <c r="E89" s="70">
        <f t="shared" si="51"/>
        <v>55.66201310141257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233"/>
      <c r="R89" s="73"/>
      <c r="S89" s="71"/>
      <c r="T89" s="71"/>
      <c r="U89" s="71"/>
      <c r="V89" s="235"/>
      <c r="W89" s="235"/>
      <c r="X89" s="245"/>
      <c r="Y89" s="239"/>
      <c r="BK89" s="14"/>
      <c r="BL89" s="14"/>
    </row>
    <row r="90" spans="1:64" ht="12.75">
      <c r="A90" s="239"/>
      <c r="B90" s="68" t="str">
        <f t="shared" si="48"/>
        <v>Nov</v>
      </c>
      <c r="C90" s="97">
        <f t="shared" si="49"/>
        <v>19</v>
      </c>
      <c r="D90" s="97">
        <f t="shared" si="50"/>
        <v>104.08836142065391</v>
      </c>
      <c r="E90" s="70">
        <f t="shared" si="51"/>
        <v>38.24672034148732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233"/>
      <c r="R90" s="73"/>
      <c r="S90" s="71"/>
      <c r="T90" s="71"/>
      <c r="U90" s="71"/>
      <c r="V90" s="235"/>
      <c r="W90" s="235"/>
      <c r="X90" s="245"/>
      <c r="Y90" s="239"/>
      <c r="BK90" s="14"/>
      <c r="BL90" s="14"/>
    </row>
    <row r="91" spans="1:64" ht="12.75">
      <c r="A91" s="239"/>
      <c r="B91" s="75" t="str">
        <f t="shared" si="48"/>
        <v>Dez</v>
      </c>
      <c r="C91" s="497">
        <f t="shared" si="49"/>
        <v>21</v>
      </c>
      <c r="D91" s="497">
        <f t="shared" si="50"/>
        <v>120.53776222461424</v>
      </c>
      <c r="E91" s="77">
        <f t="shared" si="51"/>
        <v>30.043233650920147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233"/>
      <c r="R91" s="73"/>
      <c r="S91" s="71"/>
      <c r="T91" s="71"/>
      <c r="U91" s="71"/>
      <c r="V91" s="235"/>
      <c r="W91" s="235"/>
      <c r="X91" s="245"/>
      <c r="Y91" s="239"/>
      <c r="BK91" s="14"/>
      <c r="BL91" s="14"/>
    </row>
    <row r="92" spans="1:64" ht="12.75">
      <c r="A92" s="239"/>
      <c r="B92" s="239"/>
      <c r="C92" s="239"/>
      <c r="D92" s="239"/>
      <c r="E92" s="239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233"/>
      <c r="R92" s="73"/>
      <c r="S92" s="71"/>
      <c r="T92" s="71"/>
      <c r="U92" s="71"/>
      <c r="V92" s="235"/>
      <c r="W92" s="235"/>
      <c r="X92" s="245"/>
      <c r="Y92" s="239"/>
      <c r="BK92" s="14"/>
      <c r="BL92" s="14"/>
    </row>
    <row r="93" spans="1:64" ht="12.75">
      <c r="A93" s="239"/>
      <c r="B93" s="239"/>
      <c r="C93" s="239"/>
      <c r="D93" s="239"/>
      <c r="E93" s="239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233"/>
      <c r="R93" s="73"/>
      <c r="S93" s="71"/>
      <c r="T93" s="71"/>
      <c r="U93" s="71"/>
      <c r="V93" s="235"/>
      <c r="W93" s="235"/>
      <c r="X93" s="245"/>
      <c r="Y93" s="239"/>
      <c r="BK93" s="14"/>
      <c r="BL93" s="14"/>
    </row>
    <row r="94" spans="1:64" ht="12.75">
      <c r="A94" s="239"/>
      <c r="B94" s="239"/>
      <c r="C94" s="239"/>
      <c r="D94" s="239"/>
      <c r="E94" s="239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233"/>
      <c r="R94" s="73"/>
      <c r="S94" s="71"/>
      <c r="T94" s="71"/>
      <c r="U94" s="71"/>
      <c r="V94" s="235"/>
      <c r="W94" s="235"/>
      <c r="X94" s="245"/>
      <c r="Y94" s="239"/>
      <c r="BK94" s="14"/>
      <c r="BL94" s="14"/>
    </row>
    <row r="95" spans="1:64" ht="12.75">
      <c r="A95" s="239"/>
      <c r="B95" s="239"/>
      <c r="C95" s="239"/>
      <c r="D95" s="239"/>
      <c r="E95" s="239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233"/>
      <c r="R95" s="73"/>
      <c r="S95" s="71"/>
      <c r="T95" s="71"/>
      <c r="U95" s="71"/>
      <c r="V95" s="235"/>
      <c r="W95" s="235"/>
      <c r="X95" s="245"/>
      <c r="Y95" s="239"/>
      <c r="BK95" s="14"/>
      <c r="BL95" s="14"/>
    </row>
    <row r="96" spans="1:64" ht="12.75">
      <c r="A96" s="239"/>
      <c r="B96" s="239"/>
      <c r="C96" s="239"/>
      <c r="D96" s="239"/>
      <c r="E96" s="239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33"/>
      <c r="R96" s="73"/>
      <c r="S96" s="71"/>
      <c r="T96" s="71"/>
      <c r="U96" s="71"/>
      <c r="V96" s="235"/>
      <c r="W96" s="235"/>
      <c r="X96" s="245"/>
      <c r="Y96" s="239"/>
      <c r="BK96" s="14"/>
      <c r="BL96" s="14"/>
    </row>
    <row r="97" spans="1:64" ht="12.75">
      <c r="A97" s="239"/>
      <c r="B97" s="239"/>
      <c r="C97" s="239"/>
      <c r="D97" s="239"/>
      <c r="E97" s="239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233"/>
      <c r="R97" s="73"/>
      <c r="S97" s="71"/>
      <c r="T97" s="71"/>
      <c r="U97" s="71"/>
      <c r="V97" s="235"/>
      <c r="W97" s="235"/>
      <c r="X97" s="245"/>
      <c r="Y97" s="239"/>
      <c r="BK97" s="14"/>
      <c r="BL97" s="14"/>
    </row>
    <row r="98" spans="1:64" ht="12.75">
      <c r="A98" s="239"/>
      <c r="B98" s="69"/>
      <c r="C98" s="253"/>
      <c r="D98" s="253"/>
      <c r="E98" s="253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33"/>
      <c r="R98" s="73"/>
      <c r="S98" s="71"/>
      <c r="T98" s="71"/>
      <c r="U98" s="71"/>
      <c r="V98" s="235"/>
      <c r="W98" s="235"/>
      <c r="X98" s="245"/>
      <c r="Y98" s="239"/>
      <c r="BK98" s="14"/>
      <c r="BL98" s="14"/>
    </row>
    <row r="99" spans="1:64" ht="12.75">
      <c r="A99" s="239"/>
      <c r="B99" s="69"/>
      <c r="C99" s="253"/>
      <c r="D99" s="253"/>
      <c r="E99" s="253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233"/>
      <c r="R99" s="73"/>
      <c r="S99" s="71"/>
      <c r="T99" s="71"/>
      <c r="U99" s="71"/>
      <c r="V99" s="235"/>
      <c r="W99" s="235"/>
      <c r="X99" s="245"/>
      <c r="Y99" s="239"/>
      <c r="BK99" s="14"/>
      <c r="BL99" s="14"/>
    </row>
    <row r="100" spans="1:64" ht="12.75">
      <c r="A100" s="239"/>
      <c r="B100" s="69"/>
      <c r="C100" s="253"/>
      <c r="D100" s="253"/>
      <c r="E100" s="253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233"/>
      <c r="R100" s="73"/>
      <c r="S100" s="71"/>
      <c r="T100" s="71"/>
      <c r="U100" s="71"/>
      <c r="V100" s="235"/>
      <c r="W100" s="235"/>
      <c r="X100" s="245"/>
      <c r="Y100" s="239"/>
      <c r="BK100" s="14"/>
      <c r="BL100" s="14"/>
    </row>
    <row r="101" spans="1:64" ht="12.75">
      <c r="A101" s="239"/>
      <c r="B101" s="69"/>
      <c r="C101" s="253"/>
      <c r="D101" s="253"/>
      <c r="E101" s="253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233"/>
      <c r="R101" s="73"/>
      <c r="S101" s="71"/>
      <c r="T101" s="71"/>
      <c r="U101" s="71"/>
      <c r="V101" s="235"/>
      <c r="W101" s="235"/>
      <c r="X101" s="245"/>
      <c r="Y101" s="239"/>
      <c r="BK101" s="14"/>
      <c r="BL101" s="14"/>
    </row>
    <row r="102" spans="1:64" ht="12.75">
      <c r="A102" s="239"/>
      <c r="B102" s="69"/>
      <c r="C102" s="253"/>
      <c r="D102" s="253"/>
      <c r="E102" s="253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233"/>
      <c r="R102" s="73"/>
      <c r="S102" s="71"/>
      <c r="T102" s="71"/>
      <c r="U102" s="71"/>
      <c r="V102" s="235"/>
      <c r="W102" s="235"/>
      <c r="X102" s="245"/>
      <c r="Y102" s="239"/>
      <c r="BK102" s="14"/>
      <c r="BL102" s="14"/>
    </row>
    <row r="103" spans="1:64" ht="14.25">
      <c r="A103" s="239"/>
      <c r="B103" s="47" t="s">
        <v>79</v>
      </c>
      <c r="C103" s="48"/>
      <c r="D103" s="49"/>
      <c r="E103" s="253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233"/>
      <c r="R103" s="73"/>
      <c r="S103" s="71"/>
      <c r="T103" s="71"/>
      <c r="U103" s="71"/>
      <c r="V103" s="235"/>
      <c r="W103" s="235"/>
      <c r="X103" s="245"/>
      <c r="Y103" s="239"/>
      <c r="BK103" s="14"/>
      <c r="BL103" s="14"/>
    </row>
    <row r="104" spans="1:64" ht="14.25">
      <c r="A104" s="239"/>
      <c r="B104" s="59" t="s">
        <v>80</v>
      </c>
      <c r="C104" s="60" t="s">
        <v>14</v>
      </c>
      <c r="D104" s="61" t="s">
        <v>38</v>
      </c>
      <c r="E104" s="235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233"/>
      <c r="R104" s="73"/>
      <c r="S104" s="71"/>
      <c r="T104" s="71"/>
      <c r="U104" s="71"/>
      <c r="V104" s="235"/>
      <c r="W104" s="235"/>
      <c r="X104" s="245"/>
      <c r="Y104" s="239"/>
      <c r="BK104" s="14"/>
      <c r="BL104" s="14"/>
    </row>
    <row r="105" spans="1:64" ht="12.75">
      <c r="A105" s="239"/>
      <c r="B105" s="498" t="str">
        <f aca="true" t="shared" si="52" ref="B105:B116">B38</f>
        <v>Jan</v>
      </c>
      <c r="C105" s="69">
        <f>C$10</f>
        <v>100</v>
      </c>
      <c r="D105" s="70">
        <f>M38</f>
        <v>2.181964004037487</v>
      </c>
      <c r="E105" s="239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233"/>
      <c r="R105" s="73"/>
      <c r="S105" s="71"/>
      <c r="T105" s="71"/>
      <c r="U105" s="71"/>
      <c r="V105" s="235"/>
      <c r="W105" s="235"/>
      <c r="X105" s="245"/>
      <c r="Y105" s="239"/>
      <c r="BK105" s="14"/>
      <c r="BL105" s="14"/>
    </row>
    <row r="106" spans="1:64" ht="12.75">
      <c r="A106" s="239"/>
      <c r="B106" s="498" t="str">
        <f t="shared" si="52"/>
        <v>Fev</v>
      </c>
      <c r="C106" s="69">
        <f aca="true" t="shared" si="53" ref="C106:C116">C$10</f>
        <v>100</v>
      </c>
      <c r="D106" s="70">
        <f aca="true" t="shared" si="54" ref="D106:D116">M39</f>
        <v>1.2031128639292943</v>
      </c>
      <c r="E106" s="239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233"/>
      <c r="R106" s="73"/>
      <c r="S106" s="71"/>
      <c r="T106" s="71"/>
      <c r="U106" s="71"/>
      <c r="V106" s="235"/>
      <c r="W106" s="235"/>
      <c r="X106" s="245"/>
      <c r="Y106" s="239"/>
      <c r="BK106" s="14"/>
      <c r="BL106" s="14"/>
    </row>
    <row r="107" spans="1:64" ht="12.75">
      <c r="A107" s="239"/>
      <c r="B107" s="498" t="str">
        <f t="shared" si="52"/>
        <v>Mar</v>
      </c>
      <c r="C107" s="69">
        <f t="shared" si="53"/>
        <v>100</v>
      </c>
      <c r="D107" s="70">
        <f t="shared" si="54"/>
        <v>1.1335241000555494</v>
      </c>
      <c r="E107" s="239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233"/>
      <c r="R107" s="73"/>
      <c r="S107" s="71"/>
      <c r="T107" s="71"/>
      <c r="U107" s="71"/>
      <c r="V107" s="235"/>
      <c r="W107" s="235"/>
      <c r="X107" s="245"/>
      <c r="Y107" s="239"/>
      <c r="BK107" s="14"/>
      <c r="BL107" s="14"/>
    </row>
    <row r="108" spans="1:64" ht="12.75">
      <c r="A108" s="239"/>
      <c r="B108" s="498" t="str">
        <f t="shared" si="52"/>
        <v>Abr</v>
      </c>
      <c r="C108" s="69">
        <f t="shared" si="53"/>
        <v>100</v>
      </c>
      <c r="D108" s="70">
        <f t="shared" si="54"/>
        <v>50.57260546503676</v>
      </c>
      <c r="E108" s="239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233"/>
      <c r="R108" s="73"/>
      <c r="S108" s="71"/>
      <c r="T108" s="71"/>
      <c r="U108" s="71"/>
      <c r="V108" s="235"/>
      <c r="W108" s="235"/>
      <c r="X108" s="245"/>
      <c r="Y108" s="239"/>
      <c r="BK108" s="14"/>
      <c r="BL108" s="14"/>
    </row>
    <row r="109" spans="1:64" ht="12.75">
      <c r="A109" s="239"/>
      <c r="B109" s="498" t="str">
        <f t="shared" si="52"/>
        <v>Mai</v>
      </c>
      <c r="C109" s="69">
        <f t="shared" si="53"/>
        <v>100</v>
      </c>
      <c r="D109" s="70">
        <f t="shared" si="54"/>
        <v>85.05542149241933</v>
      </c>
      <c r="E109" s="239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233"/>
      <c r="R109" s="73"/>
      <c r="S109" s="71"/>
      <c r="T109" s="71"/>
      <c r="U109" s="71"/>
      <c r="V109" s="235"/>
      <c r="W109" s="235"/>
      <c r="X109" s="245"/>
      <c r="Y109" s="239"/>
      <c r="BK109" s="14"/>
      <c r="BL109" s="14"/>
    </row>
    <row r="110" spans="1:64" ht="12.75">
      <c r="A110" s="239"/>
      <c r="B110" s="498" t="str">
        <f t="shared" si="52"/>
        <v>Jun</v>
      </c>
      <c r="C110" s="69">
        <f t="shared" si="53"/>
        <v>100</v>
      </c>
      <c r="D110" s="70">
        <f t="shared" si="54"/>
        <v>100</v>
      </c>
      <c r="E110" s="239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233"/>
      <c r="R110" s="73"/>
      <c r="S110" s="71"/>
      <c r="T110" s="71"/>
      <c r="U110" s="71"/>
      <c r="V110" s="235"/>
      <c r="W110" s="235"/>
      <c r="X110" s="245"/>
      <c r="Y110" s="239"/>
      <c r="BK110" s="14"/>
      <c r="BL110" s="14"/>
    </row>
    <row r="111" spans="1:64" ht="12.75">
      <c r="A111" s="239"/>
      <c r="B111" s="498" t="str">
        <f t="shared" si="52"/>
        <v>Jul</v>
      </c>
      <c r="C111" s="69">
        <f t="shared" si="53"/>
        <v>100</v>
      </c>
      <c r="D111" s="70">
        <f t="shared" si="54"/>
        <v>100</v>
      </c>
      <c r="E111" s="239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233"/>
      <c r="R111" s="73"/>
      <c r="S111" s="71"/>
      <c r="T111" s="71"/>
      <c r="U111" s="71"/>
      <c r="V111" s="235"/>
      <c r="W111" s="235"/>
      <c r="X111" s="245"/>
      <c r="Y111" s="239"/>
      <c r="BK111" s="14"/>
      <c r="BL111" s="14"/>
    </row>
    <row r="112" spans="1:64" ht="12.75">
      <c r="A112" s="239"/>
      <c r="B112" s="498" t="str">
        <f t="shared" si="52"/>
        <v>Ago</v>
      </c>
      <c r="C112" s="69">
        <f t="shared" si="53"/>
        <v>100</v>
      </c>
      <c r="D112" s="70">
        <f t="shared" si="54"/>
        <v>100</v>
      </c>
      <c r="E112" s="239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233"/>
      <c r="R112" s="73"/>
      <c r="S112" s="71"/>
      <c r="T112" s="71"/>
      <c r="U112" s="71"/>
      <c r="V112" s="235"/>
      <c r="W112" s="235"/>
      <c r="X112" s="245"/>
      <c r="Y112" s="239"/>
      <c r="BK112" s="14"/>
      <c r="BL112" s="14"/>
    </row>
    <row r="113" spans="1:64" ht="12.75">
      <c r="A113" s="239"/>
      <c r="B113" s="498" t="str">
        <f t="shared" si="52"/>
        <v>Set</v>
      </c>
      <c r="C113" s="69">
        <f t="shared" si="53"/>
        <v>100</v>
      </c>
      <c r="D113" s="70">
        <f t="shared" si="54"/>
        <v>72.25359710817696</v>
      </c>
      <c r="E113" s="239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233"/>
      <c r="R113" s="73"/>
      <c r="S113" s="71"/>
      <c r="T113" s="71"/>
      <c r="U113" s="71"/>
      <c r="V113" s="235"/>
      <c r="W113" s="235"/>
      <c r="X113" s="245"/>
      <c r="Y113" s="239"/>
      <c r="BK113" s="14"/>
      <c r="BL113" s="14"/>
    </row>
    <row r="114" spans="1:64" ht="12.75">
      <c r="A114" s="239"/>
      <c r="B114" s="498" t="str">
        <f t="shared" si="52"/>
        <v>Out</v>
      </c>
      <c r="C114" s="69">
        <f t="shared" si="53"/>
        <v>100</v>
      </c>
      <c r="D114" s="70">
        <f t="shared" si="54"/>
        <v>33.59158400676439</v>
      </c>
      <c r="E114" s="239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233"/>
      <c r="R114" s="73"/>
      <c r="S114" s="71"/>
      <c r="T114" s="71"/>
      <c r="U114" s="71"/>
      <c r="V114" s="235"/>
      <c r="W114" s="235"/>
      <c r="X114" s="245"/>
      <c r="Y114" s="239"/>
      <c r="BK114" s="14"/>
      <c r="BL114" s="14"/>
    </row>
    <row r="115" spans="1:64" ht="12.75">
      <c r="A115" s="239"/>
      <c r="B115" s="498" t="str">
        <f t="shared" si="52"/>
        <v>Nov</v>
      </c>
      <c r="C115" s="69">
        <f t="shared" si="53"/>
        <v>100</v>
      </c>
      <c r="D115" s="70">
        <f t="shared" si="54"/>
        <v>14.344863665277074</v>
      </c>
      <c r="E115" s="239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233"/>
      <c r="R115" s="73"/>
      <c r="S115" s="71"/>
      <c r="T115" s="71"/>
      <c r="U115" s="71"/>
      <c r="V115" s="235"/>
      <c r="W115" s="235"/>
      <c r="X115" s="245"/>
      <c r="Y115" s="239"/>
      <c r="BK115" s="14"/>
      <c r="BL115" s="14"/>
    </row>
    <row r="116" spans="1:64" ht="12.75">
      <c r="A116" s="239"/>
      <c r="B116" s="499" t="str">
        <f t="shared" si="52"/>
        <v>Dez</v>
      </c>
      <c r="C116" s="76">
        <f t="shared" si="53"/>
        <v>100</v>
      </c>
      <c r="D116" s="77">
        <f t="shared" si="54"/>
        <v>5.3016300143569275</v>
      </c>
      <c r="E116" s="239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233"/>
      <c r="R116" s="73"/>
      <c r="S116" s="71"/>
      <c r="T116" s="71"/>
      <c r="U116" s="71"/>
      <c r="V116" s="235"/>
      <c r="W116" s="235"/>
      <c r="X116" s="245"/>
      <c r="Y116" s="239"/>
      <c r="BK116" s="14"/>
      <c r="BL116" s="14"/>
    </row>
    <row r="117" spans="1:64" ht="12.75">
      <c r="A117" s="239"/>
      <c r="B117" s="245"/>
      <c r="C117" s="239"/>
      <c r="D117" s="239"/>
      <c r="E117" s="239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233"/>
      <c r="R117" s="73"/>
      <c r="S117" s="71"/>
      <c r="T117" s="71"/>
      <c r="U117" s="71"/>
      <c r="V117" s="235"/>
      <c r="W117" s="235"/>
      <c r="X117" s="245"/>
      <c r="Y117" s="239"/>
      <c r="BK117" s="14"/>
      <c r="BL117" s="14"/>
    </row>
    <row r="118" spans="1:64" ht="12.75">
      <c r="A118" s="239"/>
      <c r="B118" s="212"/>
      <c r="C118" s="233"/>
      <c r="D118" s="235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233"/>
      <c r="R118" s="73"/>
      <c r="S118" s="71"/>
      <c r="T118" s="71"/>
      <c r="U118" s="71"/>
      <c r="V118" s="235"/>
      <c r="W118" s="235"/>
      <c r="X118" s="245"/>
      <c r="Y118" s="239"/>
      <c r="BK118" s="14"/>
      <c r="BL118" s="14"/>
    </row>
    <row r="119" spans="1:64" ht="12.75">
      <c r="A119" s="239"/>
      <c r="B119" s="212"/>
      <c r="C119" s="233"/>
      <c r="D119" s="235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233"/>
      <c r="R119" s="73"/>
      <c r="S119" s="71"/>
      <c r="T119" s="71"/>
      <c r="U119" s="71"/>
      <c r="V119" s="235"/>
      <c r="W119" s="235"/>
      <c r="X119" s="245"/>
      <c r="Y119" s="239"/>
      <c r="BK119" s="14"/>
      <c r="BL119" s="14"/>
    </row>
    <row r="120" spans="1:64" ht="12.75">
      <c r="A120" s="239"/>
      <c r="B120" s="212"/>
      <c r="C120" s="233"/>
      <c r="D120" s="235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233"/>
      <c r="R120" s="73"/>
      <c r="S120" s="71"/>
      <c r="T120" s="71"/>
      <c r="U120" s="71"/>
      <c r="V120" s="235"/>
      <c r="W120" s="235"/>
      <c r="X120" s="245"/>
      <c r="Y120" s="239"/>
      <c r="BK120" s="14"/>
      <c r="BL120" s="14"/>
    </row>
    <row r="121" spans="1:64" ht="12.75">
      <c r="A121" s="239"/>
      <c r="B121" s="212"/>
      <c r="C121" s="233"/>
      <c r="D121" s="235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233"/>
      <c r="R121" s="73"/>
      <c r="S121" s="71"/>
      <c r="T121" s="71"/>
      <c r="U121" s="71"/>
      <c r="V121" s="235"/>
      <c r="W121" s="235"/>
      <c r="X121" s="245"/>
      <c r="Y121" s="239"/>
      <c r="BK121" s="14"/>
      <c r="BL121" s="14"/>
    </row>
    <row r="122" spans="1:64" ht="12.75">
      <c r="A122" s="239"/>
      <c r="B122" s="212"/>
      <c r="C122" s="233"/>
      <c r="D122" s="235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233"/>
      <c r="R122" s="73"/>
      <c r="S122" s="71"/>
      <c r="T122" s="71"/>
      <c r="U122" s="71"/>
      <c r="V122" s="235"/>
      <c r="W122" s="235"/>
      <c r="X122" s="245"/>
      <c r="Y122" s="239"/>
      <c r="BK122" s="14"/>
      <c r="BL122" s="14"/>
    </row>
    <row r="123" spans="1:64" ht="12.75">
      <c r="A123" s="239"/>
      <c r="B123" s="212"/>
      <c r="C123" s="233"/>
      <c r="D123" s="235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233"/>
      <c r="R123" s="73"/>
      <c r="S123" s="71"/>
      <c r="T123" s="71"/>
      <c r="U123" s="71"/>
      <c r="V123" s="235"/>
      <c r="W123" s="235"/>
      <c r="X123" s="245"/>
      <c r="Y123" s="239"/>
      <c r="BK123" s="14"/>
      <c r="BL123" s="14"/>
    </row>
    <row r="124" spans="1:64" ht="12.75">
      <c r="A124" s="239"/>
      <c r="B124" s="212"/>
      <c r="C124" s="233"/>
      <c r="D124" s="235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233"/>
      <c r="R124" s="73"/>
      <c r="S124" s="71"/>
      <c r="T124" s="71"/>
      <c r="U124" s="71"/>
      <c r="V124" s="235"/>
      <c r="W124" s="235"/>
      <c r="X124" s="245"/>
      <c r="Y124" s="239"/>
      <c r="BK124" s="14"/>
      <c r="BL124" s="14"/>
    </row>
    <row r="125" spans="1:64" ht="12.75">
      <c r="A125" s="239"/>
      <c r="B125" s="212"/>
      <c r="C125" s="233"/>
      <c r="D125" s="235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233"/>
      <c r="R125" s="73"/>
      <c r="S125" s="71"/>
      <c r="T125" s="71"/>
      <c r="U125" s="71"/>
      <c r="V125" s="235"/>
      <c r="W125" s="235"/>
      <c r="X125" s="245"/>
      <c r="Y125" s="239"/>
      <c r="BK125" s="14"/>
      <c r="BL125" s="14"/>
    </row>
    <row r="126" spans="1:64" ht="12.75">
      <c r="A126" s="239"/>
      <c r="B126" s="212"/>
      <c r="C126" s="233"/>
      <c r="D126" s="235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233"/>
      <c r="R126" s="73"/>
      <c r="S126" s="71"/>
      <c r="T126" s="71"/>
      <c r="U126" s="71"/>
      <c r="V126" s="235"/>
      <c r="W126" s="235"/>
      <c r="X126" s="245"/>
      <c r="Y126" s="239"/>
      <c r="BK126" s="14"/>
      <c r="BL126" s="14"/>
    </row>
    <row r="127" spans="1:64" ht="12.75">
      <c r="A127" s="239"/>
      <c r="B127" s="500" t="s">
        <v>84</v>
      </c>
      <c r="C127" s="501" t="s">
        <v>42</v>
      </c>
      <c r="D127" s="501" t="s">
        <v>41</v>
      </c>
      <c r="E127" s="501" t="s">
        <v>85</v>
      </c>
      <c r="F127" s="502" t="s">
        <v>86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233"/>
      <c r="R127" s="73"/>
      <c r="S127" s="71"/>
      <c r="T127" s="71"/>
      <c r="U127" s="71"/>
      <c r="V127" s="235"/>
      <c r="W127" s="235"/>
      <c r="X127" s="245"/>
      <c r="Y127" s="239"/>
      <c r="BK127" s="14"/>
      <c r="BL127" s="14"/>
    </row>
    <row r="128" spans="1:64" ht="12.75">
      <c r="A128" s="239"/>
      <c r="B128" s="503" t="str">
        <f aca="true" t="shared" si="55" ref="B128:B139">B38</f>
        <v>Jan</v>
      </c>
      <c r="C128" s="69">
        <f aca="true" t="shared" si="56" ref="C128:C139">Q38</f>
        <v>0</v>
      </c>
      <c r="D128" s="235">
        <f aca="true" t="shared" si="57" ref="D128:D139">P38*-1</f>
        <v>-85.65922725497262</v>
      </c>
      <c r="E128" s="235">
        <f aca="true" t="shared" si="58" ref="E128:E139">IF(N38&lt;0,N38,0)</f>
        <v>-3.1196660103194405</v>
      </c>
      <c r="F128" s="504">
        <f aca="true" t="shared" si="59" ref="F128:F139">IF(N38&gt;=0,N38,0)</f>
        <v>0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233"/>
      <c r="R128" s="73"/>
      <c r="S128" s="71"/>
      <c r="T128" s="71"/>
      <c r="U128" s="71"/>
      <c r="V128" s="235"/>
      <c r="W128" s="235"/>
      <c r="X128" s="245"/>
      <c r="Y128" s="239"/>
      <c r="BK128" s="14"/>
      <c r="BL128" s="14"/>
    </row>
    <row r="129" spans="1:64" ht="12.75">
      <c r="A129" s="239"/>
      <c r="B129" s="503" t="str">
        <f t="shared" si="55"/>
        <v>Fev</v>
      </c>
      <c r="C129" s="69">
        <f t="shared" si="56"/>
        <v>0</v>
      </c>
      <c r="D129" s="235">
        <f t="shared" si="57"/>
        <v>-58.55246277795375</v>
      </c>
      <c r="E129" s="235">
        <f t="shared" si="58"/>
        <v>-0.9788511401081927</v>
      </c>
      <c r="F129" s="504">
        <f t="shared" si="59"/>
        <v>0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233"/>
      <c r="R129" s="73"/>
      <c r="S129" s="71"/>
      <c r="T129" s="71"/>
      <c r="U129" s="71"/>
      <c r="V129" s="235"/>
      <c r="W129" s="235"/>
      <c r="X129" s="245"/>
      <c r="Y129" s="239"/>
      <c r="BK129" s="14"/>
      <c r="BL129" s="14"/>
    </row>
    <row r="130" spans="1:64" ht="12.75">
      <c r="A130" s="239"/>
      <c r="B130" s="503" t="str">
        <f t="shared" si="55"/>
        <v>Mar</v>
      </c>
      <c r="C130" s="69">
        <f t="shared" si="56"/>
        <v>0</v>
      </c>
      <c r="D130" s="235">
        <f t="shared" si="57"/>
        <v>-5.888491131308754</v>
      </c>
      <c r="E130" s="235">
        <f t="shared" si="58"/>
        <v>-0.06958876387374491</v>
      </c>
      <c r="F130" s="504">
        <f t="shared" si="59"/>
        <v>0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233"/>
      <c r="R130" s="73"/>
      <c r="S130" s="71"/>
      <c r="T130" s="71"/>
      <c r="U130" s="71"/>
      <c r="V130" s="235"/>
      <c r="W130" s="235"/>
      <c r="X130" s="245"/>
      <c r="Y130" s="239"/>
      <c r="BK130" s="14"/>
      <c r="BL130" s="14"/>
    </row>
    <row r="131" spans="1:64" ht="12.75">
      <c r="A131" s="239"/>
      <c r="B131" s="503" t="str">
        <f t="shared" si="55"/>
        <v>Abr</v>
      </c>
      <c r="C131" s="69">
        <f t="shared" si="56"/>
        <v>0</v>
      </c>
      <c r="D131" s="235">
        <f t="shared" si="57"/>
        <v>0</v>
      </c>
      <c r="E131" s="235">
        <f t="shared" si="58"/>
        <v>0</v>
      </c>
      <c r="F131" s="504">
        <f t="shared" si="59"/>
        <v>49.439081364981206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233"/>
      <c r="R131" s="73"/>
      <c r="S131" s="71"/>
      <c r="T131" s="71"/>
      <c r="U131" s="71"/>
      <c r="V131" s="235"/>
      <c r="W131" s="235"/>
      <c r="X131" s="245"/>
      <c r="Y131" s="239"/>
      <c r="BK131" s="14"/>
      <c r="BL131" s="14"/>
    </row>
    <row r="132" spans="1:64" ht="12.75">
      <c r="A132" s="239"/>
      <c r="B132" s="503" t="str">
        <f t="shared" si="55"/>
        <v>Mai</v>
      </c>
      <c r="C132" s="69">
        <f t="shared" si="56"/>
        <v>0</v>
      </c>
      <c r="D132" s="235">
        <f t="shared" si="57"/>
        <v>0</v>
      </c>
      <c r="E132" s="235">
        <f t="shared" si="58"/>
        <v>0</v>
      </c>
      <c r="F132" s="504">
        <f t="shared" si="59"/>
        <v>34.48281602738257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233"/>
      <c r="R132" s="73"/>
      <c r="S132" s="71"/>
      <c r="T132" s="71"/>
      <c r="U132" s="71"/>
      <c r="V132" s="235"/>
      <c r="W132" s="235"/>
      <c r="X132" s="245"/>
      <c r="Y132" s="239"/>
      <c r="BK132" s="14"/>
      <c r="BL132" s="14"/>
    </row>
    <row r="133" spans="1:64" ht="12.75">
      <c r="A133" s="239"/>
      <c r="B133" s="503" t="str">
        <f t="shared" si="55"/>
        <v>Jun</v>
      </c>
      <c r="C133" s="69">
        <f t="shared" si="56"/>
        <v>47.00968216673067</v>
      </c>
      <c r="D133" s="235">
        <f t="shared" si="57"/>
        <v>0</v>
      </c>
      <c r="E133" s="235">
        <f t="shared" si="58"/>
        <v>0</v>
      </c>
      <c r="F133" s="504">
        <f t="shared" si="59"/>
        <v>14.944578507580673</v>
      </c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233"/>
      <c r="R133" s="73"/>
      <c r="S133" s="71"/>
      <c r="T133" s="71"/>
      <c r="U133" s="71"/>
      <c r="V133" s="235"/>
      <c r="W133" s="235"/>
      <c r="X133" s="245"/>
      <c r="Y133" s="239"/>
      <c r="BK133" s="14"/>
      <c r="BL133" s="14"/>
    </row>
    <row r="134" spans="1:64" ht="12.75">
      <c r="A134" s="239"/>
      <c r="B134" s="503" t="str">
        <f t="shared" si="55"/>
        <v>Jul</v>
      </c>
      <c r="C134" s="69">
        <f t="shared" si="56"/>
        <v>78.18143211782527</v>
      </c>
      <c r="D134" s="235">
        <f t="shared" si="57"/>
        <v>0</v>
      </c>
      <c r="E134" s="235">
        <f t="shared" si="58"/>
        <v>0</v>
      </c>
      <c r="F134" s="504">
        <f t="shared" si="59"/>
        <v>0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233"/>
      <c r="R134" s="73"/>
      <c r="S134" s="71"/>
      <c r="T134" s="71"/>
      <c r="U134" s="71"/>
      <c r="V134" s="235"/>
      <c r="W134" s="235"/>
      <c r="X134" s="245"/>
      <c r="Y134" s="239"/>
      <c r="BK134" s="14"/>
      <c r="BL134" s="14"/>
    </row>
    <row r="135" spans="1:64" ht="12.75">
      <c r="A135" s="239"/>
      <c r="B135" s="503" t="str">
        <f t="shared" si="55"/>
        <v>Ago</v>
      </c>
      <c r="C135" s="69">
        <f t="shared" si="56"/>
        <v>2.352224537125892</v>
      </c>
      <c r="D135" s="235">
        <f t="shared" si="57"/>
        <v>0</v>
      </c>
      <c r="E135" s="235">
        <f t="shared" si="58"/>
        <v>0</v>
      </c>
      <c r="F135" s="504">
        <f t="shared" si="59"/>
        <v>0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233"/>
      <c r="R135" s="73"/>
      <c r="S135" s="71"/>
      <c r="T135" s="71"/>
      <c r="U135" s="71"/>
      <c r="V135" s="235"/>
      <c r="W135" s="235"/>
      <c r="X135" s="245"/>
      <c r="Y135" s="239"/>
      <c r="BK135" s="14"/>
      <c r="BL135" s="14"/>
    </row>
    <row r="136" spans="1:64" ht="12.75">
      <c r="A136" s="239"/>
      <c r="B136" s="503" t="str">
        <f t="shared" si="55"/>
        <v>Set</v>
      </c>
      <c r="C136" s="69">
        <f t="shared" si="56"/>
        <v>0</v>
      </c>
      <c r="D136" s="235">
        <f t="shared" si="57"/>
        <v>-4.752404435226225</v>
      </c>
      <c r="E136" s="235">
        <f t="shared" si="58"/>
        <v>-27.74640289182304</v>
      </c>
      <c r="F136" s="504">
        <f t="shared" si="59"/>
        <v>0</v>
      </c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233"/>
      <c r="R136" s="73"/>
      <c r="S136" s="71"/>
      <c r="T136" s="71"/>
      <c r="U136" s="71"/>
      <c r="V136" s="235"/>
      <c r="W136" s="235"/>
      <c r="X136" s="245"/>
      <c r="Y136" s="239"/>
      <c r="BK136" s="14"/>
      <c r="BL136" s="14"/>
    </row>
    <row r="137" spans="1:64" ht="12.75">
      <c r="A137" s="239"/>
      <c r="B137" s="503" t="str">
        <f t="shared" si="55"/>
        <v>Out</v>
      </c>
      <c r="C137" s="69">
        <f t="shared" si="56"/>
        <v>0</v>
      </c>
      <c r="D137" s="235">
        <f t="shared" si="57"/>
        <v>-37.92864220978191</v>
      </c>
      <c r="E137" s="235">
        <f t="shared" si="58"/>
        <v>-38.66201310141257</v>
      </c>
      <c r="F137" s="504">
        <f t="shared" si="59"/>
        <v>0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233"/>
      <c r="R137" s="73"/>
      <c r="S137" s="71"/>
      <c r="T137" s="71"/>
      <c r="U137" s="71"/>
      <c r="V137" s="235"/>
      <c r="W137" s="235"/>
      <c r="X137" s="245"/>
      <c r="Y137" s="239"/>
      <c r="BK137" s="14"/>
      <c r="BL137" s="14"/>
    </row>
    <row r="138" spans="1:64" ht="12.75">
      <c r="A138" s="239"/>
      <c r="B138" s="503" t="str">
        <f t="shared" si="55"/>
        <v>Nov</v>
      </c>
      <c r="C138" s="69">
        <f t="shared" si="56"/>
        <v>0</v>
      </c>
      <c r="D138" s="235">
        <f t="shared" si="57"/>
        <v>-65.84164107916659</v>
      </c>
      <c r="E138" s="235">
        <f t="shared" si="58"/>
        <v>-19.24672034148732</v>
      </c>
      <c r="F138" s="504">
        <f t="shared" si="59"/>
        <v>0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233"/>
      <c r="R138" s="73"/>
      <c r="S138" s="71"/>
      <c r="T138" s="71"/>
      <c r="U138" s="71"/>
      <c r="V138" s="235"/>
      <c r="W138" s="235"/>
      <c r="X138" s="245"/>
      <c r="Y138" s="239"/>
      <c r="BK138" s="14"/>
      <c r="BL138" s="14"/>
    </row>
    <row r="139" spans="1:64" ht="12.75">
      <c r="A139" s="239"/>
      <c r="B139" s="505" t="str">
        <f t="shared" si="55"/>
        <v>Dez</v>
      </c>
      <c r="C139" s="76">
        <f t="shared" si="56"/>
        <v>0</v>
      </c>
      <c r="D139" s="506">
        <f t="shared" si="57"/>
        <v>-90.4945285736941</v>
      </c>
      <c r="E139" s="506">
        <f t="shared" si="58"/>
        <v>-9.043233650920147</v>
      </c>
      <c r="F139" s="507">
        <f t="shared" si="59"/>
        <v>0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233"/>
      <c r="R139" s="73"/>
      <c r="S139" s="71"/>
      <c r="T139" s="71"/>
      <c r="U139" s="71"/>
      <c r="V139" s="235"/>
      <c r="W139" s="235"/>
      <c r="X139" s="245"/>
      <c r="Y139" s="239"/>
      <c r="BK139" s="14"/>
      <c r="BL139" s="14"/>
    </row>
    <row r="140" spans="1:64" ht="12.75">
      <c r="A140" s="239"/>
      <c r="B140" s="245"/>
      <c r="C140" s="239"/>
      <c r="D140" s="239"/>
      <c r="E140" s="239"/>
      <c r="F140" s="239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233"/>
      <c r="R140" s="73"/>
      <c r="S140" s="71"/>
      <c r="T140" s="71"/>
      <c r="U140" s="71"/>
      <c r="V140" s="235"/>
      <c r="W140" s="235"/>
      <c r="X140" s="245"/>
      <c r="Y140" s="239"/>
      <c r="BK140" s="14"/>
      <c r="BL140" s="14"/>
    </row>
    <row r="141" spans="1:64" ht="12.75">
      <c r="A141" s="239"/>
      <c r="B141" s="212"/>
      <c r="C141" s="233"/>
      <c r="D141" s="235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233"/>
      <c r="R141" s="73"/>
      <c r="S141" s="71"/>
      <c r="T141" s="71"/>
      <c r="U141" s="71"/>
      <c r="V141" s="235"/>
      <c r="W141" s="235"/>
      <c r="X141" s="245"/>
      <c r="Y141" s="239"/>
      <c r="BK141" s="14"/>
      <c r="BL141" s="14"/>
    </row>
    <row r="142" spans="2:64" ht="12.75">
      <c r="B142" s="524"/>
      <c r="C142" s="108"/>
      <c r="D142" s="13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108"/>
      <c r="R142" s="85"/>
      <c r="S142" s="81"/>
      <c r="T142" s="81"/>
      <c r="U142" s="81"/>
      <c r="V142" s="13"/>
      <c r="W142" s="13"/>
      <c r="BK142" s="14"/>
      <c r="BL142" s="14"/>
    </row>
    <row r="143" spans="2:64" ht="12.75">
      <c r="B143" s="524"/>
      <c r="C143" s="108"/>
      <c r="D143" s="13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108"/>
      <c r="R143" s="85"/>
      <c r="S143" s="81"/>
      <c r="T143" s="81"/>
      <c r="U143" s="81"/>
      <c r="V143" s="13"/>
      <c r="W143" s="13"/>
      <c r="BK143" s="14"/>
      <c r="BL143" s="14"/>
    </row>
    <row r="144" spans="2:64" ht="12.75">
      <c r="B144" s="524"/>
      <c r="C144" s="108"/>
      <c r="D144" s="13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108"/>
      <c r="R144" s="85"/>
      <c r="S144" s="81"/>
      <c r="T144" s="81"/>
      <c r="U144" s="81"/>
      <c r="V144" s="13"/>
      <c r="W144" s="13"/>
      <c r="BK144" s="14"/>
      <c r="BL144" s="14"/>
    </row>
    <row r="145" spans="2:64" ht="12.75">
      <c r="B145" s="524"/>
      <c r="C145" s="108"/>
      <c r="D145" s="13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108"/>
      <c r="R145" s="85"/>
      <c r="S145" s="81"/>
      <c r="T145" s="81"/>
      <c r="U145" s="81"/>
      <c r="V145" s="13"/>
      <c r="W145" s="13"/>
      <c r="BK145" s="14"/>
      <c r="BL145" s="14"/>
    </row>
    <row r="146" spans="2:64" ht="12.75">
      <c r="B146" s="524"/>
      <c r="C146" s="108"/>
      <c r="D146" s="13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108"/>
      <c r="R146" s="85"/>
      <c r="S146" s="81"/>
      <c r="T146" s="81"/>
      <c r="U146" s="81"/>
      <c r="V146" s="13"/>
      <c r="W146" s="13"/>
      <c r="BK146" s="14"/>
      <c r="BL146" s="14"/>
    </row>
    <row r="147" spans="2:64" ht="12.75">
      <c r="B147" s="524"/>
      <c r="C147" s="108"/>
      <c r="D147" s="13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108"/>
      <c r="R147" s="85"/>
      <c r="S147" s="81"/>
      <c r="T147" s="81"/>
      <c r="U147" s="81"/>
      <c r="V147" s="13"/>
      <c r="W147" s="13"/>
      <c r="BK147" s="14"/>
      <c r="BL147" s="14"/>
    </row>
    <row r="148" spans="2:64" ht="12.75">
      <c r="B148" s="524"/>
      <c r="C148" s="108"/>
      <c r="D148" s="13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108"/>
      <c r="R148" s="85"/>
      <c r="S148" s="81"/>
      <c r="T148" s="81"/>
      <c r="U148" s="81"/>
      <c r="V148" s="13"/>
      <c r="W148" s="13"/>
      <c r="BK148" s="14"/>
      <c r="BL148" s="14"/>
    </row>
    <row r="149" spans="2:64" ht="12.75">
      <c r="B149" s="524"/>
      <c r="C149" s="108"/>
      <c r="D149" s="13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108"/>
      <c r="R149" s="85"/>
      <c r="S149" s="81"/>
      <c r="T149" s="81"/>
      <c r="U149" s="81"/>
      <c r="V149" s="13"/>
      <c r="W149" s="13"/>
      <c r="BK149" s="14"/>
      <c r="BL149" s="14"/>
    </row>
    <row r="150" spans="2:64" ht="12.75">
      <c r="B150" s="524"/>
      <c r="C150" s="108"/>
      <c r="D150" s="13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108"/>
      <c r="R150" s="85"/>
      <c r="S150" s="81"/>
      <c r="T150" s="81"/>
      <c r="U150" s="81"/>
      <c r="V150" s="13"/>
      <c r="W150" s="13"/>
      <c r="BK150" s="14"/>
      <c r="BL150" s="14"/>
    </row>
    <row r="151" spans="2:64" ht="12.75">
      <c r="B151" s="524"/>
      <c r="C151" s="108"/>
      <c r="D151" s="13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108"/>
      <c r="R151" s="85"/>
      <c r="S151" s="81"/>
      <c r="T151" s="81"/>
      <c r="U151" s="81"/>
      <c r="V151" s="13"/>
      <c r="W151" s="13"/>
      <c r="BK151" s="14"/>
      <c r="BL151" s="14"/>
    </row>
    <row r="152" spans="2:64" ht="12.75">
      <c r="B152" s="524"/>
      <c r="C152" s="108"/>
      <c r="D152" s="13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108"/>
      <c r="R152" s="85"/>
      <c r="S152" s="81"/>
      <c r="T152" s="81"/>
      <c r="U152" s="81"/>
      <c r="V152" s="13"/>
      <c r="W152" s="13"/>
      <c r="BK152" s="14"/>
      <c r="BL152" s="14"/>
    </row>
    <row r="153" spans="2:64" ht="12.75">
      <c r="B153" s="524"/>
      <c r="C153" s="108"/>
      <c r="D153" s="13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108"/>
      <c r="R153" s="85"/>
      <c r="S153" s="81"/>
      <c r="T153" s="81"/>
      <c r="U153" s="81"/>
      <c r="V153" s="13"/>
      <c r="W153" s="13"/>
      <c r="BK153" s="14"/>
      <c r="BL153" s="14"/>
    </row>
    <row r="154" spans="2:64" ht="12.75">
      <c r="B154" s="524"/>
      <c r="C154" s="108"/>
      <c r="D154" s="13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108"/>
      <c r="R154" s="85"/>
      <c r="S154" s="81"/>
      <c r="T154" s="81"/>
      <c r="U154" s="81"/>
      <c r="V154" s="13"/>
      <c r="W154" s="13"/>
      <c r="BK154" s="14"/>
      <c r="BL154" s="14"/>
    </row>
    <row r="155" spans="2:64" ht="12.75">
      <c r="B155" s="524"/>
      <c r="C155" s="108"/>
      <c r="D155" s="13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108"/>
      <c r="R155" s="85"/>
      <c r="S155" s="81"/>
      <c r="T155" s="81"/>
      <c r="U155" s="81"/>
      <c r="V155" s="13"/>
      <c r="W155" s="13"/>
      <c r="BK155" s="14"/>
      <c r="BL155" s="14"/>
    </row>
    <row r="156" spans="2:64" ht="12.75">
      <c r="B156" s="524"/>
      <c r="C156" s="108"/>
      <c r="D156" s="13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108"/>
      <c r="R156" s="85"/>
      <c r="S156" s="81"/>
      <c r="T156" s="81"/>
      <c r="U156" s="81"/>
      <c r="V156" s="13"/>
      <c r="W156" s="13"/>
      <c r="BK156" s="14"/>
      <c r="BL156" s="14"/>
    </row>
    <row r="157" spans="2:64" ht="12.75">
      <c r="B157" s="524"/>
      <c r="C157" s="108"/>
      <c r="D157" s="13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108"/>
      <c r="R157" s="85"/>
      <c r="S157" s="81"/>
      <c r="T157" s="81"/>
      <c r="U157" s="81"/>
      <c r="V157" s="13"/>
      <c r="W157" s="13"/>
      <c r="BK157" s="14"/>
      <c r="BL157" s="14"/>
    </row>
    <row r="158" spans="2:64" ht="12.75">
      <c r="B158" s="524"/>
      <c r="C158" s="108"/>
      <c r="D158" s="13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108"/>
      <c r="R158" s="85"/>
      <c r="S158" s="81"/>
      <c r="T158" s="81"/>
      <c r="U158" s="81"/>
      <c r="V158" s="13"/>
      <c r="W158" s="13"/>
      <c r="BK158" s="14"/>
      <c r="BL158" s="14"/>
    </row>
    <row r="159" spans="2:64" ht="12.75">
      <c r="B159" s="524"/>
      <c r="C159" s="108"/>
      <c r="D159" s="13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108"/>
      <c r="R159" s="85"/>
      <c r="S159" s="81"/>
      <c r="T159" s="81"/>
      <c r="U159" s="81"/>
      <c r="V159" s="13"/>
      <c r="W159" s="13"/>
      <c r="BK159" s="14"/>
      <c r="BL159" s="14"/>
    </row>
    <row r="160" spans="2:64" ht="12.75">
      <c r="B160" s="524"/>
      <c r="C160" s="108"/>
      <c r="D160" s="13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108"/>
      <c r="R160" s="85"/>
      <c r="S160" s="81"/>
      <c r="T160" s="81"/>
      <c r="U160" s="81"/>
      <c r="V160" s="13"/>
      <c r="W160" s="13"/>
      <c r="BK160" s="14"/>
      <c r="BL160" s="14"/>
    </row>
    <row r="161" spans="2:64" ht="12.75">
      <c r="B161" s="524"/>
      <c r="C161" s="108"/>
      <c r="D161" s="13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108"/>
      <c r="R161" s="85"/>
      <c r="S161" s="81"/>
      <c r="T161" s="81"/>
      <c r="U161" s="81"/>
      <c r="V161" s="13"/>
      <c r="W161" s="13"/>
      <c r="BK161" s="14"/>
      <c r="BL161" s="14"/>
    </row>
    <row r="162" spans="2:64" ht="12.75">
      <c r="B162" s="524"/>
      <c r="C162" s="108"/>
      <c r="D162" s="13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108"/>
      <c r="R162" s="85"/>
      <c r="S162" s="81"/>
      <c r="T162" s="81"/>
      <c r="U162" s="81"/>
      <c r="V162" s="13"/>
      <c r="W162" s="13"/>
      <c r="BK162" s="14"/>
      <c r="BL162" s="14"/>
    </row>
    <row r="163" spans="2:64" ht="12.75">
      <c r="B163" s="524"/>
      <c r="C163" s="108"/>
      <c r="D163" s="13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108"/>
      <c r="R163" s="85"/>
      <c r="S163" s="81"/>
      <c r="T163" s="81"/>
      <c r="U163" s="81"/>
      <c r="V163" s="13"/>
      <c r="W163" s="13"/>
      <c r="BK163" s="14"/>
      <c r="BL163" s="14"/>
    </row>
    <row r="164" spans="2:64" ht="12.75">
      <c r="B164" s="524"/>
      <c r="C164" s="108"/>
      <c r="D164" s="13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108"/>
      <c r="R164" s="85"/>
      <c r="S164" s="81"/>
      <c r="T164" s="81"/>
      <c r="U164" s="81"/>
      <c r="V164" s="13"/>
      <c r="W164" s="13"/>
      <c r="BK164" s="14"/>
      <c r="BL164" s="14"/>
    </row>
    <row r="165" spans="2:64" ht="12.75">
      <c r="B165" s="524"/>
      <c r="C165" s="108"/>
      <c r="D165" s="13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108"/>
      <c r="R165" s="85"/>
      <c r="S165" s="81"/>
      <c r="T165" s="81"/>
      <c r="U165" s="81"/>
      <c r="V165" s="13"/>
      <c r="W165" s="13"/>
      <c r="BK165" s="14"/>
      <c r="BL165" s="14"/>
    </row>
    <row r="166" spans="2:64" ht="12.75">
      <c r="B166" s="524"/>
      <c r="C166" s="108"/>
      <c r="D166" s="13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108"/>
      <c r="R166" s="85"/>
      <c r="S166" s="81"/>
      <c r="T166" s="81"/>
      <c r="U166" s="81"/>
      <c r="V166" s="13"/>
      <c r="W166" s="13"/>
      <c r="BK166" s="14"/>
      <c r="BL166" s="14"/>
    </row>
    <row r="167" spans="2:64" ht="12.75">
      <c r="B167" s="524"/>
      <c r="C167" s="108"/>
      <c r="D167" s="13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108"/>
      <c r="R167" s="85"/>
      <c r="S167" s="81"/>
      <c r="T167" s="81"/>
      <c r="U167" s="81"/>
      <c r="V167" s="13"/>
      <c r="W167" s="13"/>
      <c r="BK167" s="14"/>
      <c r="BL167" s="14"/>
    </row>
    <row r="168" spans="2:64" ht="12.75">
      <c r="B168" s="524"/>
      <c r="C168" s="108"/>
      <c r="D168" s="13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108"/>
      <c r="R168" s="85"/>
      <c r="S168" s="81"/>
      <c r="T168" s="81"/>
      <c r="U168" s="81"/>
      <c r="V168" s="13"/>
      <c r="W168" s="13"/>
      <c r="BK168" s="14"/>
      <c r="BL168" s="14"/>
    </row>
    <row r="169" spans="2:64" ht="12.75">
      <c r="B169" s="524"/>
      <c r="C169" s="108"/>
      <c r="D169" s="13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108"/>
      <c r="R169" s="85"/>
      <c r="S169" s="81"/>
      <c r="T169" s="81"/>
      <c r="U169" s="81"/>
      <c r="V169" s="13"/>
      <c r="W169" s="13"/>
      <c r="BK169" s="14"/>
      <c r="BL169" s="14"/>
    </row>
    <row r="170" spans="2:64" ht="12.75">
      <c r="B170" s="524"/>
      <c r="C170" s="108"/>
      <c r="D170" s="13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108"/>
      <c r="R170" s="85"/>
      <c r="S170" s="81"/>
      <c r="T170" s="81"/>
      <c r="U170" s="81"/>
      <c r="V170" s="13"/>
      <c r="W170" s="13"/>
      <c r="BK170" s="14"/>
      <c r="BL170" s="14"/>
    </row>
    <row r="171" spans="2:64" ht="12.75">
      <c r="B171" s="524"/>
      <c r="C171" s="108"/>
      <c r="D171" s="13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108"/>
      <c r="R171" s="85"/>
      <c r="S171" s="81"/>
      <c r="T171" s="81"/>
      <c r="U171" s="81"/>
      <c r="V171" s="13"/>
      <c r="W171" s="13"/>
      <c r="BK171" s="14"/>
      <c r="BL171" s="14"/>
    </row>
    <row r="172" spans="2:64" ht="12.75">
      <c r="B172" s="524"/>
      <c r="C172" s="108"/>
      <c r="D172" s="13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108"/>
      <c r="R172" s="85"/>
      <c r="S172" s="81"/>
      <c r="T172" s="81"/>
      <c r="U172" s="81"/>
      <c r="V172" s="13"/>
      <c r="W172" s="13"/>
      <c r="BK172" s="14"/>
      <c r="BL172" s="14"/>
    </row>
    <row r="173" spans="2:64" ht="12.75">
      <c r="B173" s="524"/>
      <c r="C173" s="108"/>
      <c r="D173" s="13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108"/>
      <c r="R173" s="85"/>
      <c r="S173" s="81"/>
      <c r="T173" s="81"/>
      <c r="U173" s="81"/>
      <c r="V173" s="13"/>
      <c r="W173" s="13"/>
      <c r="BK173" s="14"/>
      <c r="BL173" s="14"/>
    </row>
    <row r="174" spans="2:64" ht="12.75">
      <c r="B174" s="524"/>
      <c r="C174" s="108"/>
      <c r="D174" s="13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108"/>
      <c r="R174" s="85"/>
      <c r="S174" s="81"/>
      <c r="T174" s="81"/>
      <c r="U174" s="81"/>
      <c r="V174" s="13"/>
      <c r="W174" s="13"/>
      <c r="BK174" s="14"/>
      <c r="BL174" s="14"/>
    </row>
    <row r="175" spans="2:64" ht="12.75">
      <c r="B175" s="524"/>
      <c r="C175" s="108"/>
      <c r="D175" s="13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108"/>
      <c r="R175" s="85"/>
      <c r="S175" s="81"/>
      <c r="T175" s="81"/>
      <c r="U175" s="81"/>
      <c r="V175" s="13"/>
      <c r="W175" s="13"/>
      <c r="BK175" s="14"/>
      <c r="BL175" s="14"/>
    </row>
    <row r="176" spans="2:64" ht="12.75">
      <c r="B176" s="524"/>
      <c r="C176" s="108"/>
      <c r="D176" s="13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108"/>
      <c r="R176" s="85"/>
      <c r="S176" s="81"/>
      <c r="T176" s="81"/>
      <c r="U176" s="81"/>
      <c r="V176" s="13"/>
      <c r="W176" s="13"/>
      <c r="BK176" s="14"/>
      <c r="BL176" s="14"/>
    </row>
    <row r="177" spans="2:64" ht="12.75">
      <c r="B177" s="524"/>
      <c r="C177" s="108"/>
      <c r="D177" s="13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108"/>
      <c r="R177" s="85"/>
      <c r="S177" s="81"/>
      <c r="T177" s="81"/>
      <c r="U177" s="81"/>
      <c r="V177" s="13"/>
      <c r="W177" s="13"/>
      <c r="BK177" s="14"/>
      <c r="BL177" s="14"/>
    </row>
    <row r="178" spans="2:64" ht="12.75">
      <c r="B178" s="524"/>
      <c r="C178" s="108"/>
      <c r="D178" s="13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108"/>
      <c r="R178" s="85"/>
      <c r="S178" s="81"/>
      <c r="T178" s="81"/>
      <c r="U178" s="81"/>
      <c r="V178" s="13"/>
      <c r="W178" s="13"/>
      <c r="BK178" s="14"/>
      <c r="BL178" s="14"/>
    </row>
    <row r="179" spans="2:64" ht="12.75">
      <c r="B179" s="524"/>
      <c r="C179" s="108"/>
      <c r="D179" s="13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108"/>
      <c r="R179" s="85"/>
      <c r="S179" s="81"/>
      <c r="T179" s="81"/>
      <c r="U179" s="81"/>
      <c r="V179" s="13"/>
      <c r="W179" s="13"/>
      <c r="BK179" s="14"/>
      <c r="BL179" s="14"/>
    </row>
    <row r="180" spans="2:64" ht="12.75">
      <c r="B180" s="524"/>
      <c r="C180" s="108"/>
      <c r="D180" s="13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108"/>
      <c r="R180" s="85"/>
      <c r="S180" s="81"/>
      <c r="T180" s="81"/>
      <c r="U180" s="81"/>
      <c r="V180" s="13"/>
      <c r="W180" s="13"/>
      <c r="BK180" s="14"/>
      <c r="BL180" s="14"/>
    </row>
    <row r="181" spans="2:64" ht="12.75">
      <c r="B181" s="524"/>
      <c r="C181" s="108"/>
      <c r="D181" s="13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108"/>
      <c r="R181" s="85"/>
      <c r="S181" s="81"/>
      <c r="T181" s="81"/>
      <c r="U181" s="81"/>
      <c r="V181" s="13"/>
      <c r="W181" s="13"/>
      <c r="BK181" s="14"/>
      <c r="BL181" s="14"/>
    </row>
    <row r="182" spans="2:64" ht="12.75">
      <c r="B182" s="524"/>
      <c r="C182" s="108"/>
      <c r="D182" s="13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108"/>
      <c r="R182" s="85"/>
      <c r="S182" s="81"/>
      <c r="T182" s="81"/>
      <c r="U182" s="81"/>
      <c r="V182" s="13"/>
      <c r="W182" s="13"/>
      <c r="BK182" s="14"/>
      <c r="BL182" s="14"/>
    </row>
    <row r="183" spans="2:64" ht="12.75">
      <c r="B183" s="524"/>
      <c r="C183" s="108"/>
      <c r="D183" s="13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108"/>
      <c r="R183" s="85"/>
      <c r="S183" s="81"/>
      <c r="T183" s="81"/>
      <c r="U183" s="81"/>
      <c r="V183" s="13"/>
      <c r="W183" s="13"/>
      <c r="BK183" s="14"/>
      <c r="BL183" s="14"/>
    </row>
    <row r="184" spans="2:64" ht="12.75">
      <c r="B184" s="524"/>
      <c r="C184" s="108"/>
      <c r="D184" s="13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108"/>
      <c r="R184" s="85"/>
      <c r="S184" s="81"/>
      <c r="T184" s="81"/>
      <c r="U184" s="81"/>
      <c r="V184" s="13"/>
      <c r="W184" s="13"/>
      <c r="BK184" s="14"/>
      <c r="BL184" s="14"/>
    </row>
    <row r="185" spans="2:64" ht="12.75">
      <c r="B185" s="524"/>
      <c r="C185" s="108"/>
      <c r="D185" s="13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108"/>
      <c r="R185" s="85"/>
      <c r="S185" s="81"/>
      <c r="T185" s="81"/>
      <c r="U185" s="81"/>
      <c r="V185" s="13"/>
      <c r="W185" s="13"/>
      <c r="BK185" s="14"/>
      <c r="BL185" s="14"/>
    </row>
    <row r="186" spans="2:64" ht="12.75">
      <c r="B186" s="524"/>
      <c r="C186" s="108"/>
      <c r="D186" s="13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108"/>
      <c r="R186" s="85"/>
      <c r="S186" s="81"/>
      <c r="T186" s="81"/>
      <c r="U186" s="81"/>
      <c r="V186" s="13"/>
      <c r="W186" s="13"/>
      <c r="BK186" s="14"/>
      <c r="BL186" s="14"/>
    </row>
    <row r="187" spans="2:64" ht="12.75">
      <c r="B187" s="524"/>
      <c r="C187" s="108"/>
      <c r="D187" s="13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108"/>
      <c r="R187" s="85"/>
      <c r="S187" s="81"/>
      <c r="T187" s="81"/>
      <c r="U187" s="81"/>
      <c r="V187" s="13"/>
      <c r="W187" s="13"/>
      <c r="BK187" s="14"/>
      <c r="BL187" s="14"/>
    </row>
    <row r="188" spans="2:64" ht="12.75">
      <c r="B188" s="524"/>
      <c r="C188" s="108"/>
      <c r="D188" s="13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108"/>
      <c r="R188" s="85"/>
      <c r="S188" s="81"/>
      <c r="T188" s="81"/>
      <c r="U188" s="81"/>
      <c r="V188" s="13"/>
      <c r="W188" s="13"/>
      <c r="BK188" s="14"/>
      <c r="BL188" s="14"/>
    </row>
    <row r="189" spans="2:64" ht="12.75">
      <c r="B189" s="524"/>
      <c r="C189" s="108"/>
      <c r="D189" s="13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108"/>
      <c r="R189" s="85"/>
      <c r="S189" s="81"/>
      <c r="T189" s="81"/>
      <c r="U189" s="81"/>
      <c r="V189" s="13"/>
      <c r="W189" s="13"/>
      <c r="BK189" s="14"/>
      <c r="BL189" s="14"/>
    </row>
    <row r="190" spans="2:64" ht="12.75">
      <c r="B190" s="524"/>
      <c r="C190" s="108"/>
      <c r="D190" s="13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108"/>
      <c r="R190" s="85"/>
      <c r="S190" s="81"/>
      <c r="T190" s="81"/>
      <c r="U190" s="81"/>
      <c r="V190" s="13"/>
      <c r="W190" s="13"/>
      <c r="BK190" s="14"/>
      <c r="BL190" s="14"/>
    </row>
    <row r="191" spans="2:64" ht="12.75">
      <c r="B191" s="524"/>
      <c r="C191" s="108"/>
      <c r="D191" s="13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108"/>
      <c r="R191" s="85"/>
      <c r="S191" s="81"/>
      <c r="T191" s="81"/>
      <c r="U191" s="81"/>
      <c r="V191" s="13"/>
      <c r="W191" s="13"/>
      <c r="BK191" s="14"/>
      <c r="BL191" s="14"/>
    </row>
    <row r="192" spans="2:64" ht="12.75">
      <c r="B192" s="524"/>
      <c r="C192" s="108"/>
      <c r="D192" s="13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108"/>
      <c r="R192" s="85"/>
      <c r="S192" s="81"/>
      <c r="T192" s="81"/>
      <c r="U192" s="81"/>
      <c r="V192" s="13"/>
      <c r="W192" s="13"/>
      <c r="BK192" s="14"/>
      <c r="BL192" s="14"/>
    </row>
    <row r="193" spans="2:64" ht="12.75">
      <c r="B193" s="524"/>
      <c r="C193" s="108"/>
      <c r="D193" s="13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108"/>
      <c r="R193" s="85"/>
      <c r="S193" s="81"/>
      <c r="T193" s="81"/>
      <c r="U193" s="81"/>
      <c r="V193" s="13"/>
      <c r="W193" s="13"/>
      <c r="BK193" s="14"/>
      <c r="BL193" s="14"/>
    </row>
    <row r="194" spans="2:64" ht="12.75">
      <c r="B194" s="524"/>
      <c r="C194" s="108"/>
      <c r="D194" s="13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108"/>
      <c r="R194" s="85"/>
      <c r="S194" s="81"/>
      <c r="T194" s="81"/>
      <c r="U194" s="81"/>
      <c r="V194" s="13"/>
      <c r="W194" s="13"/>
      <c r="BK194" s="14"/>
      <c r="BL194" s="14"/>
    </row>
    <row r="195" spans="2:64" ht="12.75">
      <c r="B195" s="524"/>
      <c r="C195" s="108"/>
      <c r="D195" s="13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108"/>
      <c r="R195" s="85"/>
      <c r="S195" s="81"/>
      <c r="T195" s="81"/>
      <c r="U195" s="81"/>
      <c r="V195" s="13"/>
      <c r="W195" s="13"/>
      <c r="BK195" s="14"/>
      <c r="BL195" s="14"/>
    </row>
    <row r="196" spans="2:64" ht="12.75">
      <c r="B196" s="524"/>
      <c r="C196" s="108"/>
      <c r="D196" s="13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108"/>
      <c r="R196" s="85"/>
      <c r="S196" s="81"/>
      <c r="T196" s="81"/>
      <c r="U196" s="81"/>
      <c r="V196" s="13"/>
      <c r="W196" s="13"/>
      <c r="BK196" s="14"/>
      <c r="BL196" s="14"/>
    </row>
    <row r="197" spans="2:64" ht="12.75">
      <c r="B197" s="524"/>
      <c r="C197" s="108"/>
      <c r="D197" s="13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108"/>
      <c r="R197" s="85"/>
      <c r="S197" s="81"/>
      <c r="T197" s="81"/>
      <c r="U197" s="81"/>
      <c r="V197" s="13"/>
      <c r="W197" s="13"/>
      <c r="BK197" s="14"/>
      <c r="BL197" s="14"/>
    </row>
    <row r="198" spans="2:64" ht="12.75">
      <c r="B198" s="524"/>
      <c r="C198" s="108"/>
      <c r="D198" s="13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108"/>
      <c r="R198" s="85"/>
      <c r="S198" s="81"/>
      <c r="T198" s="81"/>
      <c r="U198" s="81"/>
      <c r="V198" s="13"/>
      <c r="W198" s="13"/>
      <c r="BK198" s="14"/>
      <c r="BL198" s="14"/>
    </row>
    <row r="199" spans="2:64" ht="12.75">
      <c r="B199" s="524"/>
      <c r="C199" s="108"/>
      <c r="D199" s="13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108"/>
      <c r="R199" s="85"/>
      <c r="S199" s="81"/>
      <c r="T199" s="81"/>
      <c r="U199" s="81"/>
      <c r="V199" s="13"/>
      <c r="W199" s="13"/>
      <c r="BK199" s="14"/>
      <c r="BL199" s="14"/>
    </row>
    <row r="200" spans="2:64" ht="12.75">
      <c r="B200" s="524"/>
      <c r="C200" s="108"/>
      <c r="D200" s="13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108"/>
      <c r="R200" s="85"/>
      <c r="S200" s="81"/>
      <c r="T200" s="81"/>
      <c r="U200" s="81"/>
      <c r="V200" s="13"/>
      <c r="W200" s="13"/>
      <c r="BK200" s="14"/>
      <c r="BL200" s="14"/>
    </row>
    <row r="201" spans="2:64" ht="12.75">
      <c r="B201" s="524"/>
      <c r="C201" s="108"/>
      <c r="D201" s="13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108"/>
      <c r="R201" s="85"/>
      <c r="S201" s="81"/>
      <c r="T201" s="81"/>
      <c r="U201" s="81"/>
      <c r="V201" s="13"/>
      <c r="W201" s="13"/>
      <c r="BK201" s="14"/>
      <c r="BL201" s="14"/>
    </row>
    <row r="202" spans="2:64" ht="12.75">
      <c r="B202" s="524"/>
      <c r="C202" s="108"/>
      <c r="D202" s="13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108"/>
      <c r="R202" s="85"/>
      <c r="S202" s="81"/>
      <c r="T202" s="81"/>
      <c r="U202" s="81"/>
      <c r="V202" s="13"/>
      <c r="W202" s="13"/>
      <c r="BK202" s="14"/>
      <c r="BL202" s="14"/>
    </row>
    <row r="203" spans="2:64" ht="12.75">
      <c r="B203" s="524"/>
      <c r="C203" s="108"/>
      <c r="D203" s="13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108"/>
      <c r="R203" s="85"/>
      <c r="S203" s="81"/>
      <c r="T203" s="81"/>
      <c r="U203" s="81"/>
      <c r="V203" s="13"/>
      <c r="W203" s="13"/>
      <c r="BK203" s="14"/>
      <c r="BL203" s="14"/>
    </row>
    <row r="204" spans="2:64" ht="12.75">
      <c r="B204" s="524"/>
      <c r="C204" s="108"/>
      <c r="D204" s="13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108"/>
      <c r="R204" s="85"/>
      <c r="S204" s="81"/>
      <c r="T204" s="81"/>
      <c r="U204" s="81"/>
      <c r="V204" s="13"/>
      <c r="W204" s="13"/>
      <c r="BK204" s="14"/>
      <c r="BL204" s="14"/>
    </row>
    <row r="205" spans="2:64" ht="12.75">
      <c r="B205" s="524"/>
      <c r="C205" s="108"/>
      <c r="D205" s="13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108"/>
      <c r="R205" s="85"/>
      <c r="S205" s="81"/>
      <c r="T205" s="81"/>
      <c r="U205" s="81"/>
      <c r="V205" s="13"/>
      <c r="W205" s="13"/>
      <c r="BK205" s="14"/>
      <c r="BL205" s="14"/>
    </row>
    <row r="206" spans="2:64" ht="12.75">
      <c r="B206" s="524"/>
      <c r="C206" s="108"/>
      <c r="D206" s="13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108"/>
      <c r="R206" s="85"/>
      <c r="S206" s="81"/>
      <c r="T206" s="81"/>
      <c r="U206" s="81"/>
      <c r="V206" s="13"/>
      <c r="W206" s="13"/>
      <c r="BK206" s="14"/>
      <c r="BL206" s="14"/>
    </row>
    <row r="207" spans="2:64" ht="12.75">
      <c r="B207" s="524"/>
      <c r="C207" s="108"/>
      <c r="D207" s="13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108"/>
      <c r="R207" s="85"/>
      <c r="S207" s="81"/>
      <c r="T207" s="81"/>
      <c r="U207" s="81"/>
      <c r="V207" s="13"/>
      <c r="W207" s="13"/>
      <c r="BK207" s="14"/>
      <c r="BL207" s="14"/>
    </row>
    <row r="208" spans="2:64" ht="12.75">
      <c r="B208" s="524"/>
      <c r="C208" s="108"/>
      <c r="D208" s="13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108"/>
      <c r="R208" s="85"/>
      <c r="S208" s="81"/>
      <c r="T208" s="81"/>
      <c r="U208" s="81"/>
      <c r="V208" s="13"/>
      <c r="W208" s="13"/>
      <c r="BK208" s="14"/>
      <c r="BL208" s="14"/>
    </row>
    <row r="209" spans="2:64" ht="12.75">
      <c r="B209" s="524"/>
      <c r="C209" s="108"/>
      <c r="D209" s="13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108"/>
      <c r="R209" s="85"/>
      <c r="S209" s="81"/>
      <c r="T209" s="81"/>
      <c r="U209" s="81"/>
      <c r="V209" s="13"/>
      <c r="W209" s="13"/>
      <c r="BK209" s="14"/>
      <c r="BL209" s="14"/>
    </row>
    <row r="210" spans="2:64" ht="12.75">
      <c r="B210" s="524"/>
      <c r="C210" s="108"/>
      <c r="D210" s="13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108"/>
      <c r="R210" s="85"/>
      <c r="S210" s="81"/>
      <c r="T210" s="81"/>
      <c r="U210" s="81"/>
      <c r="V210" s="13"/>
      <c r="W210" s="13"/>
      <c r="BK210" s="14"/>
      <c r="BL210" s="14"/>
    </row>
    <row r="211" spans="2:64" ht="12.75">
      <c r="B211" s="524"/>
      <c r="C211" s="108"/>
      <c r="D211" s="13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108"/>
      <c r="R211" s="85"/>
      <c r="S211" s="81"/>
      <c r="T211" s="81"/>
      <c r="U211" s="81"/>
      <c r="V211" s="13"/>
      <c r="W211" s="13"/>
      <c r="BK211" s="14"/>
      <c r="BL211" s="14"/>
    </row>
    <row r="212" spans="2:64" ht="12.75">
      <c r="B212" s="524"/>
      <c r="C212" s="108"/>
      <c r="D212" s="13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108"/>
      <c r="R212" s="85"/>
      <c r="S212" s="81"/>
      <c r="T212" s="81"/>
      <c r="U212" s="81"/>
      <c r="V212" s="13"/>
      <c r="W212" s="13"/>
      <c r="BK212" s="14"/>
      <c r="BL212" s="14"/>
    </row>
    <row r="213" spans="2:64" ht="12.75">
      <c r="B213" s="524"/>
      <c r="C213" s="108"/>
      <c r="D213" s="13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108"/>
      <c r="R213" s="85"/>
      <c r="S213" s="81"/>
      <c r="T213" s="81"/>
      <c r="U213" s="81"/>
      <c r="V213" s="13"/>
      <c r="W213" s="13"/>
      <c r="BK213" s="14"/>
      <c r="BL213" s="14"/>
    </row>
    <row r="214" spans="2:64" ht="12.75">
      <c r="B214" s="524"/>
      <c r="C214" s="108"/>
      <c r="D214" s="13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108"/>
      <c r="R214" s="85"/>
      <c r="S214" s="81"/>
      <c r="T214" s="81"/>
      <c r="U214" s="81"/>
      <c r="V214" s="13"/>
      <c r="W214" s="13"/>
      <c r="BK214" s="14"/>
      <c r="BL214" s="14"/>
    </row>
    <row r="215" spans="2:64" ht="12.75">
      <c r="B215" s="524"/>
      <c r="C215" s="108"/>
      <c r="D215" s="13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108"/>
      <c r="R215" s="85"/>
      <c r="S215" s="81"/>
      <c r="T215" s="81"/>
      <c r="U215" s="81"/>
      <c r="V215" s="13"/>
      <c r="W215" s="13"/>
      <c r="BK215" s="14"/>
      <c r="BL215" s="14"/>
    </row>
    <row r="216" spans="2:64" ht="12.75">
      <c r="B216" s="524"/>
      <c r="C216" s="108"/>
      <c r="D216" s="13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108"/>
      <c r="R216" s="85"/>
      <c r="S216" s="81"/>
      <c r="T216" s="81"/>
      <c r="U216" s="81"/>
      <c r="V216" s="13"/>
      <c r="W216" s="13"/>
      <c r="BK216" s="14"/>
      <c r="BL216" s="14"/>
    </row>
    <row r="217" spans="2:64" ht="12.75">
      <c r="B217" s="524"/>
      <c r="C217" s="108"/>
      <c r="D217" s="13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108"/>
      <c r="R217" s="85"/>
      <c r="S217" s="81"/>
      <c r="T217" s="81"/>
      <c r="U217" s="81"/>
      <c r="V217" s="13"/>
      <c r="W217" s="13"/>
      <c r="BK217" s="14"/>
      <c r="BL217" s="14"/>
    </row>
    <row r="218" spans="2:64" ht="12.75">
      <c r="B218" s="524"/>
      <c r="C218" s="108"/>
      <c r="D218" s="13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108"/>
      <c r="R218" s="85"/>
      <c r="S218" s="81"/>
      <c r="T218" s="81"/>
      <c r="U218" s="81"/>
      <c r="V218" s="13"/>
      <c r="W218" s="13"/>
      <c r="BK218" s="14"/>
      <c r="BL218" s="14"/>
    </row>
    <row r="219" spans="2:64" ht="12.75">
      <c r="B219" s="524"/>
      <c r="C219" s="108"/>
      <c r="D219" s="13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108"/>
      <c r="R219" s="85"/>
      <c r="S219" s="81"/>
      <c r="T219" s="81"/>
      <c r="U219" s="81"/>
      <c r="V219" s="13"/>
      <c r="W219" s="13"/>
      <c r="BK219" s="14"/>
      <c r="BL219" s="14"/>
    </row>
    <row r="220" spans="2:64" ht="12.75">
      <c r="B220" s="524"/>
      <c r="C220" s="108"/>
      <c r="D220" s="13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108"/>
      <c r="R220" s="85"/>
      <c r="S220" s="81"/>
      <c r="T220" s="81"/>
      <c r="U220" s="81"/>
      <c r="V220" s="13"/>
      <c r="W220" s="13"/>
      <c r="BK220" s="14"/>
      <c r="BL220" s="14"/>
    </row>
    <row r="221" spans="2:64" ht="12.75">
      <c r="B221" s="524"/>
      <c r="C221" s="108"/>
      <c r="D221" s="13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108"/>
      <c r="R221" s="85"/>
      <c r="S221" s="81"/>
      <c r="T221" s="81"/>
      <c r="U221" s="81"/>
      <c r="V221" s="13"/>
      <c r="W221" s="13"/>
      <c r="BK221" s="14"/>
      <c r="BL221" s="14"/>
    </row>
    <row r="222" spans="2:64" ht="12.75">
      <c r="B222" s="524"/>
      <c r="C222" s="108"/>
      <c r="D222" s="13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108"/>
      <c r="R222" s="85"/>
      <c r="S222" s="81"/>
      <c r="T222" s="81"/>
      <c r="U222" s="81"/>
      <c r="V222" s="13"/>
      <c r="W222" s="13"/>
      <c r="BK222" s="14"/>
      <c r="BL222" s="14"/>
    </row>
    <row r="223" spans="2:64" ht="12.75">
      <c r="B223" s="524"/>
      <c r="C223" s="108"/>
      <c r="D223" s="13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108"/>
      <c r="R223" s="85"/>
      <c r="S223" s="81"/>
      <c r="T223" s="81"/>
      <c r="U223" s="81"/>
      <c r="V223" s="13"/>
      <c r="W223" s="13"/>
      <c r="BK223" s="14"/>
      <c r="BL223" s="14"/>
    </row>
    <row r="224" spans="2:64" ht="12.75">
      <c r="B224" s="524"/>
      <c r="C224" s="108"/>
      <c r="D224" s="13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108"/>
      <c r="R224" s="85"/>
      <c r="S224" s="81"/>
      <c r="T224" s="81"/>
      <c r="U224" s="81"/>
      <c r="V224" s="13"/>
      <c r="W224" s="13"/>
      <c r="BK224" s="14"/>
      <c r="BL224" s="14"/>
    </row>
    <row r="225" spans="2:64" ht="12.75">
      <c r="B225" s="524"/>
      <c r="C225" s="108"/>
      <c r="D225" s="13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108"/>
      <c r="R225" s="85"/>
      <c r="S225" s="81"/>
      <c r="T225" s="81"/>
      <c r="U225" s="81"/>
      <c r="V225" s="13"/>
      <c r="W225" s="13"/>
      <c r="BK225" s="14"/>
      <c r="BL225" s="14"/>
    </row>
    <row r="226" spans="2:64" ht="12.75">
      <c r="B226" s="524"/>
      <c r="C226" s="108"/>
      <c r="D226" s="13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108"/>
      <c r="R226" s="85"/>
      <c r="S226" s="81"/>
      <c r="T226" s="81"/>
      <c r="U226" s="81"/>
      <c r="V226" s="13"/>
      <c r="W226" s="13"/>
      <c r="BK226" s="14"/>
      <c r="BL226" s="14"/>
    </row>
    <row r="227" spans="2:64" ht="12.75">
      <c r="B227" s="524"/>
      <c r="C227" s="108"/>
      <c r="D227" s="13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108"/>
      <c r="R227" s="85"/>
      <c r="S227" s="81"/>
      <c r="T227" s="81"/>
      <c r="U227" s="81"/>
      <c r="V227" s="13"/>
      <c r="W227" s="13"/>
      <c r="BK227" s="14"/>
      <c r="BL227" s="14"/>
    </row>
    <row r="228" spans="2:64" ht="12.75">
      <c r="B228" s="524"/>
      <c r="C228" s="108"/>
      <c r="D228" s="13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108"/>
      <c r="R228" s="85"/>
      <c r="S228" s="81"/>
      <c r="T228" s="81"/>
      <c r="U228" s="81"/>
      <c r="V228" s="13"/>
      <c r="W228" s="13"/>
      <c r="BK228" s="14"/>
      <c r="BL228" s="14"/>
    </row>
    <row r="229" spans="2:64" ht="12.75">
      <c r="B229" s="524"/>
      <c r="C229" s="108"/>
      <c r="D229" s="13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108"/>
      <c r="R229" s="85"/>
      <c r="S229" s="81"/>
      <c r="T229" s="81"/>
      <c r="U229" s="81"/>
      <c r="V229" s="13"/>
      <c r="W229" s="13"/>
      <c r="BK229" s="14"/>
      <c r="BL229" s="14"/>
    </row>
    <row r="230" spans="2:64" ht="12.75">
      <c r="B230" s="524"/>
      <c r="C230" s="108"/>
      <c r="D230" s="13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108"/>
      <c r="R230" s="85"/>
      <c r="S230" s="81"/>
      <c r="T230" s="81"/>
      <c r="U230" s="81"/>
      <c r="V230" s="13"/>
      <c r="W230" s="13"/>
      <c r="BK230" s="14"/>
      <c r="BL230" s="14"/>
    </row>
    <row r="231" spans="2:64" ht="12.75">
      <c r="B231" s="524"/>
      <c r="C231" s="108"/>
      <c r="D231" s="13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108"/>
      <c r="R231" s="85"/>
      <c r="S231" s="81"/>
      <c r="T231" s="81"/>
      <c r="U231" s="81"/>
      <c r="V231" s="13"/>
      <c r="W231" s="13"/>
      <c r="BK231" s="14"/>
      <c r="BL231" s="14"/>
    </row>
    <row r="232" spans="2:64" ht="12.75">
      <c r="B232" s="524"/>
      <c r="C232" s="108"/>
      <c r="D232" s="13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108"/>
      <c r="R232" s="85"/>
      <c r="S232" s="81"/>
      <c r="T232" s="81"/>
      <c r="U232" s="81"/>
      <c r="V232" s="13"/>
      <c r="W232" s="13"/>
      <c r="BK232" s="14"/>
      <c r="BL232" s="14"/>
    </row>
    <row r="233" spans="2:64" ht="12.75">
      <c r="B233" s="524"/>
      <c r="C233" s="108"/>
      <c r="D233" s="13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108"/>
      <c r="R233" s="85"/>
      <c r="S233" s="81"/>
      <c r="T233" s="81"/>
      <c r="U233" s="81"/>
      <c r="V233" s="13"/>
      <c r="W233" s="13"/>
      <c r="BK233" s="14"/>
      <c r="BL233" s="14"/>
    </row>
    <row r="234" spans="2:64" ht="12.75">
      <c r="B234" s="524"/>
      <c r="C234" s="108"/>
      <c r="D234" s="13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108"/>
      <c r="R234" s="85"/>
      <c r="S234" s="81"/>
      <c r="T234" s="81"/>
      <c r="U234" s="81"/>
      <c r="V234" s="13"/>
      <c r="W234" s="13"/>
      <c r="BK234" s="14"/>
      <c r="BL234" s="14"/>
    </row>
    <row r="235" spans="2:64" ht="12.75">
      <c r="B235" s="524"/>
      <c r="C235" s="108"/>
      <c r="D235" s="13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108"/>
      <c r="R235" s="85"/>
      <c r="S235" s="81"/>
      <c r="T235" s="81"/>
      <c r="U235" s="81"/>
      <c r="V235" s="13"/>
      <c r="W235" s="13"/>
      <c r="BK235" s="14"/>
      <c r="BL235" s="14"/>
    </row>
    <row r="236" spans="2:64" ht="12.75">
      <c r="B236" s="524"/>
      <c r="C236" s="108"/>
      <c r="D236" s="13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108"/>
      <c r="R236" s="85"/>
      <c r="S236" s="81"/>
      <c r="T236" s="81"/>
      <c r="U236" s="81"/>
      <c r="V236" s="13"/>
      <c r="W236" s="13"/>
      <c r="BK236" s="14"/>
      <c r="BL236" s="14"/>
    </row>
    <row r="237" spans="2:64" ht="12.75">
      <c r="B237" s="524"/>
      <c r="C237" s="108"/>
      <c r="D237" s="13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108"/>
      <c r="R237" s="85"/>
      <c r="S237" s="81"/>
      <c r="T237" s="81"/>
      <c r="U237" s="81"/>
      <c r="V237" s="13"/>
      <c r="W237" s="13"/>
      <c r="BK237" s="14"/>
      <c r="BL237" s="14"/>
    </row>
    <row r="238" spans="2:64" ht="12.75">
      <c r="B238" s="524"/>
      <c r="C238" s="108"/>
      <c r="D238" s="13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108"/>
      <c r="R238" s="85"/>
      <c r="S238" s="81"/>
      <c r="T238" s="81"/>
      <c r="U238" s="81"/>
      <c r="V238" s="13"/>
      <c r="W238" s="13"/>
      <c r="BK238" s="14"/>
      <c r="BL238" s="14"/>
    </row>
    <row r="239" spans="2:64" ht="12.75">
      <c r="B239" s="524"/>
      <c r="C239" s="108"/>
      <c r="D239" s="13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108"/>
      <c r="R239" s="85"/>
      <c r="S239" s="81"/>
      <c r="T239" s="81"/>
      <c r="U239" s="81"/>
      <c r="V239" s="13"/>
      <c r="W239" s="13"/>
      <c r="BK239" s="14"/>
      <c r="BL239" s="14"/>
    </row>
    <row r="240" spans="2:64" ht="12.75">
      <c r="B240" s="524"/>
      <c r="C240" s="108"/>
      <c r="D240" s="13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108"/>
      <c r="R240" s="85"/>
      <c r="S240" s="81"/>
      <c r="T240" s="81"/>
      <c r="U240" s="81"/>
      <c r="V240" s="13"/>
      <c r="W240" s="13"/>
      <c r="BK240" s="14"/>
      <c r="BL240" s="14"/>
    </row>
    <row r="241" spans="2:64" ht="12.75">
      <c r="B241" s="524"/>
      <c r="C241" s="108"/>
      <c r="D241" s="13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108"/>
      <c r="R241" s="85"/>
      <c r="S241" s="81"/>
      <c r="T241" s="81"/>
      <c r="U241" s="81"/>
      <c r="V241" s="13"/>
      <c r="W241" s="13"/>
      <c r="BK241" s="14"/>
      <c r="BL241" s="14"/>
    </row>
    <row r="242" spans="2:64" ht="12.75">
      <c r="B242" s="524"/>
      <c r="C242" s="108"/>
      <c r="D242" s="13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108"/>
      <c r="R242" s="85"/>
      <c r="S242" s="81"/>
      <c r="T242" s="81"/>
      <c r="U242" s="81"/>
      <c r="V242" s="13"/>
      <c r="W242" s="13"/>
      <c r="BK242" s="14"/>
      <c r="BL242" s="14"/>
    </row>
    <row r="243" spans="2:64" ht="12.75">
      <c r="B243" s="524"/>
      <c r="C243" s="108"/>
      <c r="D243" s="13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108"/>
      <c r="R243" s="85"/>
      <c r="S243" s="81"/>
      <c r="T243" s="81"/>
      <c r="U243" s="81"/>
      <c r="V243" s="13"/>
      <c r="W243" s="13"/>
      <c r="BK243" s="14"/>
      <c r="BL243" s="14"/>
    </row>
    <row r="244" spans="2:64" ht="12.75">
      <c r="B244" s="524"/>
      <c r="C244" s="108"/>
      <c r="D244" s="13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108"/>
      <c r="R244" s="85"/>
      <c r="S244" s="81"/>
      <c r="T244" s="81"/>
      <c r="U244" s="81"/>
      <c r="V244" s="13"/>
      <c r="W244" s="13"/>
      <c r="BK244" s="14"/>
      <c r="BL244" s="14"/>
    </row>
    <row r="245" spans="2:64" ht="12.75">
      <c r="B245" s="524"/>
      <c r="C245" s="108"/>
      <c r="D245" s="13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108"/>
      <c r="R245" s="85"/>
      <c r="S245" s="81"/>
      <c r="T245" s="81"/>
      <c r="U245" s="81"/>
      <c r="V245" s="13"/>
      <c r="W245" s="13"/>
      <c r="BK245" s="14"/>
      <c r="BL245" s="14"/>
    </row>
    <row r="246" spans="2:64" ht="12.75">
      <c r="B246" s="524"/>
      <c r="C246" s="108"/>
      <c r="D246" s="13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108"/>
      <c r="R246" s="85"/>
      <c r="S246" s="81"/>
      <c r="T246" s="81"/>
      <c r="U246" s="81"/>
      <c r="V246" s="13"/>
      <c r="W246" s="13"/>
      <c r="BK246" s="14"/>
      <c r="BL246" s="14"/>
    </row>
    <row r="247" spans="2:64" ht="12.75">
      <c r="B247" s="524"/>
      <c r="C247" s="108"/>
      <c r="D247" s="13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108"/>
      <c r="R247" s="85"/>
      <c r="S247" s="81"/>
      <c r="T247" s="81"/>
      <c r="U247" s="81"/>
      <c r="V247" s="13"/>
      <c r="W247" s="13"/>
      <c r="BK247" s="14"/>
      <c r="BL247" s="14"/>
    </row>
    <row r="248" spans="2:64" ht="12.75">
      <c r="B248" s="524"/>
      <c r="C248" s="108"/>
      <c r="D248" s="13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108"/>
      <c r="R248" s="85"/>
      <c r="S248" s="81"/>
      <c r="T248" s="81"/>
      <c r="U248" s="81"/>
      <c r="V248" s="13"/>
      <c r="W248" s="13"/>
      <c r="BK248" s="14"/>
      <c r="BL248" s="14"/>
    </row>
    <row r="249" spans="2:64" ht="12.75">
      <c r="B249" s="524"/>
      <c r="C249" s="108"/>
      <c r="D249" s="13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108"/>
      <c r="R249" s="85"/>
      <c r="S249" s="81"/>
      <c r="T249" s="81"/>
      <c r="U249" s="81"/>
      <c r="V249" s="13"/>
      <c r="W249" s="13"/>
      <c r="BK249" s="14"/>
      <c r="BL249" s="14"/>
    </row>
    <row r="250" spans="2:64" ht="12.75">
      <c r="B250" s="524"/>
      <c r="C250" s="108"/>
      <c r="D250" s="13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108"/>
      <c r="R250" s="85"/>
      <c r="S250" s="81"/>
      <c r="T250" s="81"/>
      <c r="U250" s="81"/>
      <c r="V250" s="13"/>
      <c r="W250" s="13"/>
      <c r="BK250" s="14"/>
      <c r="BL250" s="14"/>
    </row>
    <row r="251" spans="2:64" ht="12.75">
      <c r="B251" s="524"/>
      <c r="C251" s="108"/>
      <c r="D251" s="13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108"/>
      <c r="R251" s="85"/>
      <c r="S251" s="81"/>
      <c r="T251" s="81"/>
      <c r="U251" s="81"/>
      <c r="V251" s="13"/>
      <c r="W251" s="13"/>
      <c r="BK251" s="14"/>
      <c r="BL251" s="14"/>
    </row>
    <row r="252" spans="2:64" ht="12.75">
      <c r="B252" s="524"/>
      <c r="C252" s="108"/>
      <c r="D252" s="13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108"/>
      <c r="R252" s="85"/>
      <c r="S252" s="81"/>
      <c r="T252" s="81"/>
      <c r="U252" s="81"/>
      <c r="V252" s="13"/>
      <c r="W252" s="13"/>
      <c r="BK252" s="14"/>
      <c r="BL252" s="14"/>
    </row>
    <row r="253" spans="2:64" ht="12.75">
      <c r="B253" s="524"/>
      <c r="C253" s="108"/>
      <c r="D253" s="13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108"/>
      <c r="R253" s="85"/>
      <c r="S253" s="81"/>
      <c r="T253" s="81"/>
      <c r="U253" s="81"/>
      <c r="V253" s="13"/>
      <c r="W253" s="13"/>
      <c r="BK253" s="14"/>
      <c r="BL253" s="14"/>
    </row>
    <row r="254" spans="2:64" ht="12.75">
      <c r="B254" s="524"/>
      <c r="C254" s="108"/>
      <c r="D254" s="13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108"/>
      <c r="R254" s="85"/>
      <c r="S254" s="81"/>
      <c r="T254" s="81"/>
      <c r="U254" s="81"/>
      <c r="V254" s="13"/>
      <c r="W254" s="13"/>
      <c r="BK254" s="14"/>
      <c r="BL254" s="14"/>
    </row>
    <row r="255" spans="2:64" ht="12.75">
      <c r="B255" s="524"/>
      <c r="C255" s="108"/>
      <c r="D255" s="13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108"/>
      <c r="R255" s="85"/>
      <c r="S255" s="81"/>
      <c r="T255" s="81"/>
      <c r="U255" s="81"/>
      <c r="V255" s="13"/>
      <c r="W255" s="13"/>
      <c r="BK255" s="14"/>
      <c r="BL255" s="14"/>
    </row>
    <row r="256" spans="2:64" ht="12.75">
      <c r="B256" s="524"/>
      <c r="C256" s="108"/>
      <c r="D256" s="13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108"/>
      <c r="R256" s="85"/>
      <c r="S256" s="81"/>
      <c r="T256" s="81"/>
      <c r="U256" s="81"/>
      <c r="V256" s="13"/>
      <c r="W256" s="13"/>
      <c r="BK256" s="14"/>
      <c r="BL256" s="14"/>
    </row>
    <row r="257" spans="2:64" ht="12.75">
      <c r="B257" s="524"/>
      <c r="C257" s="108"/>
      <c r="D257" s="13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108"/>
      <c r="R257" s="85"/>
      <c r="S257" s="81"/>
      <c r="T257" s="81"/>
      <c r="U257" s="81"/>
      <c r="V257" s="13"/>
      <c r="W257" s="13"/>
      <c r="BK257" s="14"/>
      <c r="BL257" s="14"/>
    </row>
    <row r="258" spans="2:64" ht="12.75">
      <c r="B258" s="524"/>
      <c r="C258" s="108"/>
      <c r="D258" s="13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108"/>
      <c r="R258" s="85"/>
      <c r="S258" s="81"/>
      <c r="T258" s="81"/>
      <c r="U258" s="81"/>
      <c r="V258" s="13"/>
      <c r="W258" s="13"/>
      <c r="BK258" s="14"/>
      <c r="BL258" s="14"/>
    </row>
    <row r="259" spans="2:64" ht="12.75">
      <c r="B259" s="524"/>
      <c r="C259" s="108"/>
      <c r="D259" s="13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108"/>
      <c r="R259" s="85"/>
      <c r="S259" s="81"/>
      <c r="T259" s="81"/>
      <c r="U259" s="81"/>
      <c r="V259" s="13"/>
      <c r="W259" s="13"/>
      <c r="BK259" s="14"/>
      <c r="BL259" s="14"/>
    </row>
    <row r="260" spans="2:64" ht="12.75">
      <c r="B260" s="524"/>
      <c r="C260" s="108"/>
      <c r="D260" s="13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108"/>
      <c r="R260" s="85"/>
      <c r="S260" s="81"/>
      <c r="T260" s="81"/>
      <c r="U260" s="81"/>
      <c r="V260" s="13"/>
      <c r="W260" s="13"/>
      <c r="BK260" s="14"/>
      <c r="BL260" s="14"/>
    </row>
    <row r="261" spans="2:64" ht="12.75">
      <c r="B261" s="524"/>
      <c r="C261" s="108"/>
      <c r="D261" s="13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108"/>
      <c r="R261" s="85"/>
      <c r="S261" s="81"/>
      <c r="T261" s="81"/>
      <c r="U261" s="81"/>
      <c r="V261" s="13"/>
      <c r="W261" s="13"/>
      <c r="BK261" s="14"/>
      <c r="BL261" s="14"/>
    </row>
    <row r="262" spans="2:64" ht="12.75">
      <c r="B262" s="524"/>
      <c r="C262" s="108"/>
      <c r="D262" s="13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108"/>
      <c r="R262" s="85"/>
      <c r="S262" s="81"/>
      <c r="T262" s="81"/>
      <c r="U262" s="81"/>
      <c r="V262" s="13"/>
      <c r="W262" s="13"/>
      <c r="BK262" s="14"/>
      <c r="BL262" s="14"/>
    </row>
    <row r="263" spans="2:64" ht="12.75">
      <c r="B263" s="524"/>
      <c r="C263" s="108"/>
      <c r="D263" s="13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108"/>
      <c r="R263" s="85"/>
      <c r="S263" s="81"/>
      <c r="T263" s="81"/>
      <c r="U263" s="81"/>
      <c r="V263" s="13"/>
      <c r="W263" s="13"/>
      <c r="BK263" s="14"/>
      <c r="BL263" s="14"/>
    </row>
    <row r="264" spans="2:64" ht="12.75">
      <c r="B264" s="524"/>
      <c r="C264" s="108"/>
      <c r="D264" s="13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108"/>
      <c r="R264" s="85"/>
      <c r="S264" s="81"/>
      <c r="T264" s="81"/>
      <c r="U264" s="81"/>
      <c r="V264" s="13"/>
      <c r="W264" s="13"/>
      <c r="BK264" s="14"/>
      <c r="BL264" s="14"/>
    </row>
    <row r="265" spans="2:64" ht="12.75">
      <c r="B265" s="524"/>
      <c r="C265" s="108"/>
      <c r="D265" s="13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108"/>
      <c r="R265" s="85"/>
      <c r="S265" s="81"/>
      <c r="T265" s="81"/>
      <c r="U265" s="81"/>
      <c r="V265" s="13"/>
      <c r="W265" s="13"/>
      <c r="BK265" s="14"/>
      <c r="BL265" s="14"/>
    </row>
    <row r="266" spans="2:64" ht="12.75">
      <c r="B266" s="524"/>
      <c r="C266" s="108"/>
      <c r="D266" s="13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108"/>
      <c r="R266" s="85"/>
      <c r="S266" s="81"/>
      <c r="T266" s="81"/>
      <c r="U266" s="81"/>
      <c r="V266" s="13"/>
      <c r="W266" s="13"/>
      <c r="BK266" s="14"/>
      <c r="BL266" s="14"/>
    </row>
    <row r="267" spans="2:64" ht="12.75">
      <c r="B267" s="524"/>
      <c r="C267" s="108"/>
      <c r="D267" s="13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108"/>
      <c r="R267" s="85"/>
      <c r="S267" s="81"/>
      <c r="T267" s="81"/>
      <c r="U267" s="81"/>
      <c r="V267" s="13"/>
      <c r="W267" s="13"/>
      <c r="BK267" s="14"/>
      <c r="BL267" s="14"/>
    </row>
    <row r="268" spans="2:64" ht="12.75">
      <c r="B268" s="524"/>
      <c r="C268" s="108"/>
      <c r="D268" s="13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108"/>
      <c r="R268" s="85"/>
      <c r="S268" s="81"/>
      <c r="T268" s="81"/>
      <c r="U268" s="81"/>
      <c r="V268" s="13"/>
      <c r="W268" s="13"/>
      <c r="BK268" s="14"/>
      <c r="BL268" s="14"/>
    </row>
    <row r="269" spans="2:64" ht="12.75">
      <c r="B269" s="524"/>
      <c r="C269" s="108"/>
      <c r="D269" s="13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108"/>
      <c r="R269" s="85"/>
      <c r="S269" s="81"/>
      <c r="T269" s="81"/>
      <c r="U269" s="81"/>
      <c r="V269" s="13"/>
      <c r="W269" s="13"/>
      <c r="BK269" s="14"/>
      <c r="BL269" s="14"/>
    </row>
    <row r="270" spans="2:64" ht="12.75">
      <c r="B270" s="524"/>
      <c r="C270" s="108"/>
      <c r="D270" s="13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108"/>
      <c r="R270" s="85"/>
      <c r="S270" s="81"/>
      <c r="T270" s="81"/>
      <c r="U270" s="81"/>
      <c r="V270" s="13"/>
      <c r="W270" s="13"/>
      <c r="BK270" s="14"/>
      <c r="BL270" s="14"/>
    </row>
    <row r="271" spans="2:64" ht="12.75">
      <c r="B271" s="524"/>
      <c r="C271" s="108"/>
      <c r="D271" s="13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108"/>
      <c r="R271" s="85"/>
      <c r="S271" s="81"/>
      <c r="T271" s="81"/>
      <c r="U271" s="81"/>
      <c r="V271" s="13"/>
      <c r="W271" s="13"/>
      <c r="BK271" s="14"/>
      <c r="BL271" s="14"/>
    </row>
    <row r="272" spans="2:64" ht="12.75">
      <c r="B272" s="524"/>
      <c r="C272" s="108"/>
      <c r="D272" s="13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108"/>
      <c r="R272" s="85"/>
      <c r="S272" s="81"/>
      <c r="T272" s="81"/>
      <c r="U272" s="81"/>
      <c r="V272" s="13"/>
      <c r="W272" s="13"/>
      <c r="BK272" s="14"/>
      <c r="BL272" s="14"/>
    </row>
    <row r="273" spans="2:64" ht="12.75">
      <c r="B273" s="524"/>
      <c r="C273" s="108"/>
      <c r="D273" s="13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108"/>
      <c r="R273" s="85"/>
      <c r="S273" s="81"/>
      <c r="T273" s="81"/>
      <c r="U273" s="81"/>
      <c r="V273" s="13"/>
      <c r="W273" s="13"/>
      <c r="BK273" s="14"/>
      <c r="BL273" s="14"/>
    </row>
    <row r="274" spans="2:64" ht="12.75">
      <c r="B274" s="524"/>
      <c r="C274" s="108"/>
      <c r="D274" s="13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108"/>
      <c r="R274" s="85"/>
      <c r="S274" s="81"/>
      <c r="T274" s="81"/>
      <c r="U274" s="81"/>
      <c r="V274" s="13"/>
      <c r="W274" s="13"/>
      <c r="BK274" s="14"/>
      <c r="BL274" s="14"/>
    </row>
    <row r="275" spans="2:64" ht="12.75">
      <c r="B275" s="524"/>
      <c r="C275" s="108"/>
      <c r="D275" s="13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108"/>
      <c r="R275" s="85"/>
      <c r="S275" s="81"/>
      <c r="T275" s="81"/>
      <c r="U275" s="81"/>
      <c r="V275" s="13"/>
      <c r="W275" s="13"/>
      <c r="BK275" s="14"/>
      <c r="BL275" s="14"/>
    </row>
    <row r="276" spans="2:64" ht="12.75">
      <c r="B276" s="524"/>
      <c r="C276" s="108"/>
      <c r="D276" s="13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108"/>
      <c r="R276" s="85"/>
      <c r="S276" s="81"/>
      <c r="T276" s="81"/>
      <c r="U276" s="81"/>
      <c r="V276" s="13"/>
      <c r="W276" s="13"/>
      <c r="BK276" s="14"/>
      <c r="BL276" s="14"/>
    </row>
    <row r="277" spans="2:64" ht="12.75">
      <c r="B277" s="524"/>
      <c r="C277" s="108"/>
      <c r="D277" s="13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108"/>
      <c r="R277" s="85"/>
      <c r="S277" s="81"/>
      <c r="T277" s="81"/>
      <c r="U277" s="81"/>
      <c r="V277" s="13"/>
      <c r="W277" s="13"/>
      <c r="BK277" s="14"/>
      <c r="BL277" s="14"/>
    </row>
    <row r="278" spans="2:64" ht="12.75">
      <c r="B278" s="524"/>
      <c r="C278" s="108"/>
      <c r="D278" s="13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108"/>
      <c r="R278" s="85"/>
      <c r="S278" s="81"/>
      <c r="T278" s="81"/>
      <c r="U278" s="81"/>
      <c r="V278" s="13"/>
      <c r="W278" s="13"/>
      <c r="BK278" s="14"/>
      <c r="BL278" s="14"/>
    </row>
    <row r="279" spans="2:64" ht="12.75">
      <c r="B279" s="524"/>
      <c r="C279" s="108"/>
      <c r="D279" s="13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108"/>
      <c r="R279" s="85"/>
      <c r="S279" s="81"/>
      <c r="T279" s="81"/>
      <c r="U279" s="81"/>
      <c r="V279" s="13"/>
      <c r="W279" s="13"/>
      <c r="BK279" s="14"/>
      <c r="BL279" s="14"/>
    </row>
    <row r="280" spans="2:64" ht="12.75">
      <c r="B280" s="524"/>
      <c r="C280" s="108"/>
      <c r="D280" s="13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108"/>
      <c r="R280" s="85"/>
      <c r="S280" s="81"/>
      <c r="T280" s="81"/>
      <c r="U280" s="81"/>
      <c r="V280" s="13"/>
      <c r="W280" s="13"/>
      <c r="BK280" s="14"/>
      <c r="BL280" s="14"/>
    </row>
    <row r="281" spans="2:64" ht="12.75">
      <c r="B281" s="524"/>
      <c r="C281" s="108"/>
      <c r="D281" s="13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108"/>
      <c r="R281" s="85"/>
      <c r="S281" s="81"/>
      <c r="T281" s="81"/>
      <c r="U281" s="81"/>
      <c r="V281" s="13"/>
      <c r="W281" s="13"/>
      <c r="BK281" s="14"/>
      <c r="BL281" s="14"/>
    </row>
    <row r="282" spans="2:64" ht="12.75">
      <c r="B282" s="524"/>
      <c r="C282" s="108"/>
      <c r="D282" s="13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108"/>
      <c r="R282" s="85"/>
      <c r="S282" s="81"/>
      <c r="T282" s="81"/>
      <c r="U282" s="81"/>
      <c r="V282" s="13"/>
      <c r="W282" s="13"/>
      <c r="BK282" s="14"/>
      <c r="BL282" s="14"/>
    </row>
    <row r="283" spans="2:64" ht="12.75">
      <c r="B283" s="524"/>
      <c r="C283" s="108"/>
      <c r="D283" s="13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108"/>
      <c r="R283" s="85"/>
      <c r="S283" s="81"/>
      <c r="T283" s="81"/>
      <c r="U283" s="81"/>
      <c r="V283" s="13"/>
      <c r="W283" s="13"/>
      <c r="BK283" s="14"/>
      <c r="BL283" s="14"/>
    </row>
    <row r="284" spans="2:64" ht="12.75">
      <c r="B284" s="524"/>
      <c r="C284" s="108"/>
      <c r="D284" s="13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108"/>
      <c r="R284" s="85"/>
      <c r="S284" s="81"/>
      <c r="T284" s="81"/>
      <c r="U284" s="81"/>
      <c r="V284" s="13"/>
      <c r="W284" s="13"/>
      <c r="BK284" s="14"/>
      <c r="BL284" s="14"/>
    </row>
    <row r="285" spans="2:64" ht="12.75">
      <c r="B285" s="524"/>
      <c r="C285" s="108"/>
      <c r="D285" s="13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108"/>
      <c r="R285" s="85"/>
      <c r="S285" s="81"/>
      <c r="T285" s="81"/>
      <c r="U285" s="81"/>
      <c r="V285" s="13"/>
      <c r="W285" s="13"/>
      <c r="BK285" s="14"/>
      <c r="BL285" s="14"/>
    </row>
    <row r="286" spans="2:64" ht="12.75">
      <c r="B286" s="524"/>
      <c r="C286" s="108"/>
      <c r="D286" s="13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108"/>
      <c r="R286" s="85"/>
      <c r="S286" s="81"/>
      <c r="T286" s="81"/>
      <c r="U286" s="81"/>
      <c r="V286" s="13"/>
      <c r="W286" s="13"/>
      <c r="BK286" s="14"/>
      <c r="BL286" s="14"/>
    </row>
    <row r="287" spans="2:64" ht="12.75">
      <c r="B287" s="524"/>
      <c r="C287" s="108"/>
      <c r="D287" s="13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108"/>
      <c r="R287" s="85"/>
      <c r="S287" s="81"/>
      <c r="T287" s="81"/>
      <c r="U287" s="81"/>
      <c r="V287" s="13"/>
      <c r="W287" s="13"/>
      <c r="BK287" s="14"/>
      <c r="BL287" s="14"/>
    </row>
    <row r="288" spans="2:64" ht="12.75">
      <c r="B288" s="524"/>
      <c r="C288" s="108"/>
      <c r="D288" s="13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108"/>
      <c r="R288" s="85"/>
      <c r="S288" s="81"/>
      <c r="T288" s="81"/>
      <c r="U288" s="81"/>
      <c r="V288" s="13"/>
      <c r="W288" s="13"/>
      <c r="BK288" s="14"/>
      <c r="BL288" s="14"/>
    </row>
    <row r="289" spans="2:64" ht="12.75">
      <c r="B289" s="524"/>
      <c r="C289" s="108"/>
      <c r="D289" s="13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108"/>
      <c r="R289" s="85"/>
      <c r="S289" s="81"/>
      <c r="T289" s="81"/>
      <c r="U289" s="81"/>
      <c r="V289" s="13"/>
      <c r="W289" s="13"/>
      <c r="BK289" s="14"/>
      <c r="BL289" s="14"/>
    </row>
    <row r="290" spans="2:64" ht="12.75">
      <c r="B290" s="524"/>
      <c r="C290" s="108"/>
      <c r="D290" s="13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108"/>
      <c r="R290" s="85"/>
      <c r="S290" s="81"/>
      <c r="T290" s="81"/>
      <c r="U290" s="81"/>
      <c r="V290" s="13"/>
      <c r="W290" s="13"/>
      <c r="BK290" s="14"/>
      <c r="BL290" s="14"/>
    </row>
    <row r="291" spans="2:64" ht="12.75">
      <c r="B291" s="524"/>
      <c r="C291" s="108"/>
      <c r="D291" s="13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108"/>
      <c r="R291" s="85"/>
      <c r="S291" s="81"/>
      <c r="T291" s="81"/>
      <c r="U291" s="81"/>
      <c r="V291" s="13"/>
      <c r="W291" s="13"/>
      <c r="BK291" s="14"/>
      <c r="BL291" s="14"/>
    </row>
    <row r="292" spans="2:64" ht="12.75">
      <c r="B292" s="524"/>
      <c r="C292" s="108"/>
      <c r="D292" s="13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108"/>
      <c r="R292" s="85"/>
      <c r="S292" s="81"/>
      <c r="T292" s="81"/>
      <c r="U292" s="81"/>
      <c r="V292" s="13"/>
      <c r="W292" s="13"/>
      <c r="BK292" s="14"/>
      <c r="BL292" s="14"/>
    </row>
    <row r="293" spans="2:64" ht="12.75">
      <c r="B293" s="524"/>
      <c r="C293" s="108"/>
      <c r="D293" s="13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108"/>
      <c r="R293" s="85"/>
      <c r="S293" s="81"/>
      <c r="T293" s="81"/>
      <c r="U293" s="81"/>
      <c r="V293" s="13"/>
      <c r="W293" s="13"/>
      <c r="BK293" s="14"/>
      <c r="BL293" s="14"/>
    </row>
    <row r="294" spans="2:64" ht="12.75">
      <c r="B294" s="524"/>
      <c r="C294" s="108"/>
      <c r="D294" s="13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108"/>
      <c r="R294" s="85"/>
      <c r="S294" s="81"/>
      <c r="T294" s="81"/>
      <c r="U294" s="81"/>
      <c r="V294" s="13"/>
      <c r="W294" s="13"/>
      <c r="BK294" s="14"/>
      <c r="BL294" s="14"/>
    </row>
    <row r="295" spans="2:64" ht="12.75">
      <c r="B295" s="524"/>
      <c r="C295" s="108"/>
      <c r="D295" s="13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108"/>
      <c r="R295" s="85"/>
      <c r="S295" s="81"/>
      <c r="T295" s="81"/>
      <c r="U295" s="81"/>
      <c r="V295" s="13"/>
      <c r="W295" s="13"/>
      <c r="BK295" s="14"/>
      <c r="BL295" s="14"/>
    </row>
    <row r="296" spans="2:64" ht="12.75">
      <c r="B296" s="524"/>
      <c r="C296" s="108"/>
      <c r="D296" s="13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108"/>
      <c r="R296" s="85"/>
      <c r="S296" s="81"/>
      <c r="T296" s="81"/>
      <c r="U296" s="81"/>
      <c r="V296" s="13"/>
      <c r="W296" s="13"/>
      <c r="BK296" s="14"/>
      <c r="BL296" s="14"/>
    </row>
    <row r="297" spans="2:64" ht="12.75">
      <c r="B297" s="524"/>
      <c r="C297" s="108"/>
      <c r="D297" s="13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108"/>
      <c r="R297" s="85"/>
      <c r="S297" s="81"/>
      <c r="T297" s="81"/>
      <c r="U297" s="81"/>
      <c r="V297" s="13"/>
      <c r="W297" s="13"/>
      <c r="BK297" s="14"/>
      <c r="BL297" s="14"/>
    </row>
    <row r="298" spans="2:64" ht="12.75">
      <c r="B298" s="524"/>
      <c r="C298" s="108"/>
      <c r="D298" s="13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108"/>
      <c r="R298" s="85"/>
      <c r="S298" s="81"/>
      <c r="T298" s="81"/>
      <c r="U298" s="81"/>
      <c r="V298" s="13"/>
      <c r="W298" s="13"/>
      <c r="BK298" s="14"/>
      <c r="BL298" s="14"/>
    </row>
    <row r="299" spans="2:64" ht="12.75">
      <c r="B299" s="524"/>
      <c r="C299" s="108"/>
      <c r="D299" s="13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108"/>
      <c r="R299" s="85"/>
      <c r="S299" s="81"/>
      <c r="T299" s="81"/>
      <c r="U299" s="81"/>
      <c r="V299" s="13"/>
      <c r="W299" s="13"/>
      <c r="BK299" s="14"/>
      <c r="BL299" s="14"/>
    </row>
    <row r="300" spans="2:64" ht="12.75">
      <c r="B300" s="524"/>
      <c r="C300" s="108"/>
      <c r="D300" s="13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108"/>
      <c r="R300" s="85"/>
      <c r="S300" s="81"/>
      <c r="T300" s="81"/>
      <c r="U300" s="81"/>
      <c r="V300" s="13"/>
      <c r="W300" s="13"/>
      <c r="BK300" s="14"/>
      <c r="BL300" s="14"/>
    </row>
    <row r="301" spans="2:64" ht="12.75">
      <c r="B301" s="524"/>
      <c r="C301" s="108"/>
      <c r="D301" s="13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108"/>
      <c r="R301" s="85"/>
      <c r="S301" s="81"/>
      <c r="T301" s="81"/>
      <c r="U301" s="81"/>
      <c r="V301" s="13"/>
      <c r="W301" s="13"/>
      <c r="BK301" s="14"/>
      <c r="BL301" s="14"/>
    </row>
    <row r="302" spans="2:64" ht="12.75">
      <c r="B302" s="524"/>
      <c r="C302" s="108"/>
      <c r="D302" s="13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108"/>
      <c r="R302" s="85"/>
      <c r="S302" s="81"/>
      <c r="T302" s="81"/>
      <c r="U302" s="81"/>
      <c r="V302" s="13"/>
      <c r="W302" s="13"/>
      <c r="BK302" s="14"/>
      <c r="BL302" s="14"/>
    </row>
    <row r="303" spans="2:64" ht="12.75">
      <c r="B303" s="524"/>
      <c r="C303" s="108"/>
      <c r="D303" s="13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108"/>
      <c r="R303" s="85"/>
      <c r="S303" s="81"/>
      <c r="T303" s="81"/>
      <c r="U303" s="81"/>
      <c r="V303" s="13"/>
      <c r="W303" s="13"/>
      <c r="BK303" s="14"/>
      <c r="BL303" s="14"/>
    </row>
    <row r="304" spans="2:64" ht="12.75">
      <c r="B304" s="524"/>
      <c r="C304" s="108"/>
      <c r="D304" s="13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108"/>
      <c r="R304" s="85"/>
      <c r="S304" s="81"/>
      <c r="T304" s="81"/>
      <c r="U304" s="81"/>
      <c r="V304" s="13"/>
      <c r="W304" s="13"/>
      <c r="BK304" s="14"/>
      <c r="BL304" s="14"/>
    </row>
    <row r="305" spans="2:64" ht="12.75">
      <c r="B305" s="524"/>
      <c r="C305" s="108"/>
      <c r="D305" s="13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108"/>
      <c r="R305" s="85"/>
      <c r="S305" s="81"/>
      <c r="T305" s="81"/>
      <c r="U305" s="81"/>
      <c r="V305" s="13"/>
      <c r="W305" s="13"/>
      <c r="BK305" s="14"/>
      <c r="BL305" s="14"/>
    </row>
    <row r="306" spans="2:64" ht="12.75">
      <c r="B306" s="524"/>
      <c r="C306" s="108"/>
      <c r="D306" s="13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108"/>
      <c r="R306" s="85"/>
      <c r="S306" s="81"/>
      <c r="T306" s="81"/>
      <c r="U306" s="81"/>
      <c r="V306" s="13"/>
      <c r="W306" s="13"/>
      <c r="BK306" s="14"/>
      <c r="BL306" s="14"/>
    </row>
    <row r="307" spans="2:64" ht="12.75">
      <c r="B307" s="524"/>
      <c r="C307" s="108"/>
      <c r="D307" s="13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108"/>
      <c r="R307" s="85"/>
      <c r="S307" s="81"/>
      <c r="T307" s="81"/>
      <c r="U307" s="81"/>
      <c r="V307" s="13"/>
      <c r="W307" s="13"/>
      <c r="BK307" s="14"/>
      <c r="BL307" s="14"/>
    </row>
    <row r="308" spans="2:64" ht="12.75">
      <c r="B308" s="524"/>
      <c r="C308" s="108"/>
      <c r="D308" s="13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108"/>
      <c r="R308" s="85"/>
      <c r="S308" s="81"/>
      <c r="T308" s="81"/>
      <c r="U308" s="81"/>
      <c r="V308" s="13"/>
      <c r="W308" s="13"/>
      <c r="BK308" s="14"/>
      <c r="BL308" s="14"/>
    </row>
    <row r="309" spans="2:64" ht="12.75">
      <c r="B309" s="524"/>
      <c r="C309" s="108"/>
      <c r="D309" s="13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108"/>
      <c r="R309" s="85"/>
      <c r="S309" s="81"/>
      <c r="T309" s="81"/>
      <c r="U309" s="81"/>
      <c r="V309" s="13"/>
      <c r="W309" s="13"/>
      <c r="BK309" s="14"/>
      <c r="BL309" s="14"/>
    </row>
    <row r="310" spans="2:64" ht="12.75">
      <c r="B310" s="524"/>
      <c r="C310" s="108"/>
      <c r="D310" s="13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108"/>
      <c r="R310" s="85"/>
      <c r="S310" s="81"/>
      <c r="T310" s="81"/>
      <c r="U310" s="81"/>
      <c r="V310" s="13"/>
      <c r="W310" s="13"/>
      <c r="BK310" s="14"/>
      <c r="BL310" s="14"/>
    </row>
    <row r="311" spans="2:64" ht="12.75">
      <c r="B311" s="524"/>
      <c r="C311" s="108"/>
      <c r="D311" s="13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108"/>
      <c r="R311" s="85"/>
      <c r="S311" s="81"/>
      <c r="T311" s="81"/>
      <c r="U311" s="81"/>
      <c r="V311" s="13"/>
      <c r="W311" s="13"/>
      <c r="BK311" s="14"/>
      <c r="BL311" s="14"/>
    </row>
    <row r="312" spans="2:64" ht="12.75">
      <c r="B312" s="524"/>
      <c r="C312" s="108"/>
      <c r="D312" s="13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108"/>
      <c r="R312" s="85"/>
      <c r="S312" s="81"/>
      <c r="T312" s="81"/>
      <c r="U312" s="81"/>
      <c r="V312" s="13"/>
      <c r="W312" s="13"/>
      <c r="BK312" s="14"/>
      <c r="BL312" s="14"/>
    </row>
    <row r="313" spans="2:64" ht="12.75">
      <c r="B313" s="524"/>
      <c r="C313" s="108"/>
      <c r="D313" s="13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108"/>
      <c r="R313" s="85"/>
      <c r="S313" s="81"/>
      <c r="T313" s="81"/>
      <c r="U313" s="81"/>
      <c r="V313" s="13"/>
      <c r="W313" s="13"/>
      <c r="BK313" s="14"/>
      <c r="BL313" s="14"/>
    </row>
    <row r="314" spans="2:64" ht="12.75">
      <c r="B314" s="524"/>
      <c r="C314" s="108"/>
      <c r="D314" s="13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108"/>
      <c r="R314" s="85"/>
      <c r="S314" s="81"/>
      <c r="T314" s="81"/>
      <c r="U314" s="81"/>
      <c r="V314" s="13"/>
      <c r="W314" s="13"/>
      <c r="BK314" s="14"/>
      <c r="BL314" s="14"/>
    </row>
    <row r="315" spans="2:64" ht="12.75">
      <c r="B315" s="524"/>
      <c r="C315" s="108"/>
      <c r="D315" s="13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108"/>
      <c r="R315" s="85"/>
      <c r="S315" s="81"/>
      <c r="T315" s="81"/>
      <c r="U315" s="81"/>
      <c r="V315" s="13"/>
      <c r="W315" s="13"/>
      <c r="BK315" s="14"/>
      <c r="BL315" s="14"/>
    </row>
    <row r="316" spans="2:64" ht="12.75">
      <c r="B316" s="524"/>
      <c r="C316" s="108"/>
      <c r="D316" s="13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108"/>
      <c r="R316" s="85"/>
      <c r="S316" s="81"/>
      <c r="T316" s="81"/>
      <c r="U316" s="81"/>
      <c r="V316" s="13"/>
      <c r="W316" s="13"/>
      <c r="BK316" s="14"/>
      <c r="BL316" s="14"/>
    </row>
    <row r="317" spans="2:64" ht="12.75">
      <c r="B317" s="524"/>
      <c r="C317" s="108"/>
      <c r="D317" s="13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108"/>
      <c r="R317" s="85"/>
      <c r="S317" s="81"/>
      <c r="T317" s="81"/>
      <c r="U317" s="81"/>
      <c r="V317" s="13"/>
      <c r="W317" s="13"/>
      <c r="BK317" s="14"/>
      <c r="BL317" s="14"/>
    </row>
    <row r="318" spans="2:64" ht="12.75">
      <c r="B318" s="524"/>
      <c r="C318" s="108"/>
      <c r="D318" s="13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108"/>
      <c r="R318" s="85"/>
      <c r="S318" s="81"/>
      <c r="T318" s="81"/>
      <c r="U318" s="81"/>
      <c r="V318" s="13"/>
      <c r="W318" s="13"/>
      <c r="BK318" s="14"/>
      <c r="BL318" s="14"/>
    </row>
    <row r="319" spans="2:64" ht="12.75">
      <c r="B319" s="524"/>
      <c r="C319" s="108"/>
      <c r="D319" s="13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108"/>
      <c r="R319" s="85"/>
      <c r="S319" s="81"/>
      <c r="T319" s="81"/>
      <c r="U319" s="81"/>
      <c r="V319" s="13"/>
      <c r="W319" s="13"/>
      <c r="BK319" s="14"/>
      <c r="BL319" s="14"/>
    </row>
    <row r="320" spans="2:64" ht="12.75">
      <c r="B320" s="524"/>
      <c r="C320" s="108"/>
      <c r="D320" s="13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108"/>
      <c r="R320" s="85"/>
      <c r="S320" s="81"/>
      <c r="T320" s="81"/>
      <c r="U320" s="81"/>
      <c r="V320" s="13"/>
      <c r="W320" s="13"/>
      <c r="BK320" s="14"/>
      <c r="BL320" s="14"/>
    </row>
    <row r="321" spans="2:64" ht="12.75">
      <c r="B321" s="524"/>
      <c r="C321" s="108"/>
      <c r="D321" s="13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108"/>
      <c r="R321" s="85"/>
      <c r="S321" s="81"/>
      <c r="T321" s="81"/>
      <c r="U321" s="81"/>
      <c r="V321" s="13"/>
      <c r="W321" s="13"/>
      <c r="BK321" s="14"/>
      <c r="BL321" s="14"/>
    </row>
    <row r="322" spans="2:64" ht="12.75">
      <c r="B322" s="524"/>
      <c r="C322" s="108"/>
      <c r="D322" s="13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108"/>
      <c r="R322" s="85"/>
      <c r="S322" s="81"/>
      <c r="T322" s="81"/>
      <c r="U322" s="81"/>
      <c r="V322" s="13"/>
      <c r="W322" s="13"/>
      <c r="BK322" s="14"/>
      <c r="BL322" s="14"/>
    </row>
    <row r="323" spans="2:64" ht="12.75">
      <c r="B323" s="524"/>
      <c r="C323" s="108"/>
      <c r="D323" s="13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108"/>
      <c r="R323" s="85"/>
      <c r="S323" s="81"/>
      <c r="T323" s="81"/>
      <c r="U323" s="81"/>
      <c r="V323" s="13"/>
      <c r="W323" s="13"/>
      <c r="BK323" s="14"/>
      <c r="BL323" s="14"/>
    </row>
    <row r="324" spans="2:64" ht="12.75">
      <c r="B324" s="524"/>
      <c r="C324" s="108"/>
      <c r="D324" s="13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108"/>
      <c r="R324" s="85"/>
      <c r="S324" s="81"/>
      <c r="T324" s="81"/>
      <c r="U324" s="81"/>
      <c r="V324" s="13"/>
      <c r="W324" s="13"/>
      <c r="BK324" s="14"/>
      <c r="BL324" s="14"/>
    </row>
    <row r="325" spans="2:64" ht="12.75">
      <c r="B325" s="524"/>
      <c r="C325" s="108"/>
      <c r="D325" s="13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108"/>
      <c r="R325" s="85"/>
      <c r="S325" s="81"/>
      <c r="T325" s="81"/>
      <c r="U325" s="81"/>
      <c r="V325" s="13"/>
      <c r="W325" s="13"/>
      <c r="BK325" s="14"/>
      <c r="BL325" s="14"/>
    </row>
    <row r="326" spans="2:64" ht="12.75">
      <c r="B326" s="524"/>
      <c r="C326" s="108"/>
      <c r="D326" s="13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108"/>
      <c r="R326" s="85"/>
      <c r="S326" s="81"/>
      <c r="T326" s="81"/>
      <c r="U326" s="81"/>
      <c r="V326" s="13"/>
      <c r="W326" s="13"/>
      <c r="BK326" s="14"/>
      <c r="BL326" s="14"/>
    </row>
    <row r="327" spans="2:64" ht="12.75">
      <c r="B327" s="524"/>
      <c r="C327" s="108"/>
      <c r="D327" s="13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108"/>
      <c r="R327" s="85"/>
      <c r="S327" s="81"/>
      <c r="T327" s="81"/>
      <c r="U327" s="81"/>
      <c r="V327" s="13"/>
      <c r="W327" s="13"/>
      <c r="BK327" s="14"/>
      <c r="BL327" s="14"/>
    </row>
    <row r="328" spans="2:64" ht="12.75">
      <c r="B328" s="524"/>
      <c r="C328" s="108"/>
      <c r="D328" s="13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108"/>
      <c r="R328" s="85"/>
      <c r="S328" s="81"/>
      <c r="T328" s="81"/>
      <c r="U328" s="81"/>
      <c r="V328" s="13"/>
      <c r="W328" s="13"/>
      <c r="BK328" s="14"/>
      <c r="BL328" s="14"/>
    </row>
    <row r="329" spans="2:64" ht="12.75">
      <c r="B329" s="524"/>
      <c r="C329" s="108"/>
      <c r="D329" s="13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108"/>
      <c r="R329" s="85"/>
      <c r="S329" s="81"/>
      <c r="T329" s="81"/>
      <c r="U329" s="81"/>
      <c r="V329" s="13"/>
      <c r="W329" s="13"/>
      <c r="BK329" s="14"/>
      <c r="BL329" s="14"/>
    </row>
    <row r="330" spans="2:64" ht="12.75">
      <c r="B330" s="524"/>
      <c r="C330" s="108"/>
      <c r="D330" s="13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108"/>
      <c r="R330" s="85"/>
      <c r="S330" s="81"/>
      <c r="T330" s="81"/>
      <c r="U330" s="81"/>
      <c r="V330" s="13"/>
      <c r="W330" s="13"/>
      <c r="BK330" s="14"/>
      <c r="BL330" s="14"/>
    </row>
    <row r="331" spans="2:64" ht="12.75">
      <c r="B331" s="524"/>
      <c r="C331" s="108"/>
      <c r="D331" s="13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108"/>
      <c r="R331" s="85"/>
      <c r="S331" s="81"/>
      <c r="T331" s="81"/>
      <c r="U331" s="81"/>
      <c r="V331" s="13"/>
      <c r="W331" s="13"/>
      <c r="BK331" s="14"/>
      <c r="BL331" s="14"/>
    </row>
    <row r="332" spans="2:64" ht="12.75">
      <c r="B332" s="524"/>
      <c r="C332" s="108"/>
      <c r="D332" s="13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108"/>
      <c r="R332" s="85"/>
      <c r="S332" s="81"/>
      <c r="T332" s="81"/>
      <c r="U332" s="81"/>
      <c r="V332" s="13"/>
      <c r="W332" s="13"/>
      <c r="BK332" s="14"/>
      <c r="BL332" s="14"/>
    </row>
    <row r="333" spans="2:64" ht="12.75">
      <c r="B333" s="524"/>
      <c r="C333" s="108"/>
      <c r="D333" s="13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108"/>
      <c r="R333" s="85"/>
      <c r="S333" s="81"/>
      <c r="T333" s="81"/>
      <c r="U333" s="81"/>
      <c r="V333" s="13"/>
      <c r="W333" s="13"/>
      <c r="BK333" s="14"/>
      <c r="BL333" s="14"/>
    </row>
    <row r="334" spans="2:64" ht="12.75">
      <c r="B334" s="524"/>
      <c r="C334" s="108"/>
      <c r="D334" s="13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108"/>
      <c r="R334" s="85"/>
      <c r="S334" s="81"/>
      <c r="T334" s="81"/>
      <c r="U334" s="81"/>
      <c r="V334" s="13"/>
      <c r="W334" s="13"/>
      <c r="BK334" s="14"/>
      <c r="BL334" s="14"/>
    </row>
    <row r="335" spans="2:64" ht="12.75">
      <c r="B335" s="524"/>
      <c r="C335" s="108"/>
      <c r="D335" s="13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108"/>
      <c r="R335" s="85"/>
      <c r="S335" s="81"/>
      <c r="T335" s="81"/>
      <c r="U335" s="81"/>
      <c r="V335" s="13"/>
      <c r="W335" s="13"/>
      <c r="BK335" s="14"/>
      <c r="BL335" s="14"/>
    </row>
    <row r="336" spans="2:64" ht="12.75">
      <c r="B336" s="524"/>
      <c r="C336" s="108"/>
      <c r="D336" s="13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108"/>
      <c r="R336" s="85"/>
      <c r="S336" s="81"/>
      <c r="T336" s="81"/>
      <c r="U336" s="81"/>
      <c r="V336" s="13"/>
      <c r="W336" s="13"/>
      <c r="BK336" s="14"/>
      <c r="BL336" s="14"/>
    </row>
    <row r="337" spans="2:64" ht="12.75">
      <c r="B337" s="524"/>
      <c r="C337" s="108"/>
      <c r="D337" s="13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108"/>
      <c r="R337" s="85"/>
      <c r="S337" s="81"/>
      <c r="T337" s="81"/>
      <c r="U337" s="81"/>
      <c r="V337" s="13"/>
      <c r="W337" s="13"/>
      <c r="BK337" s="14"/>
      <c r="BL337" s="14"/>
    </row>
    <row r="338" spans="2:64" ht="12.75">
      <c r="B338" s="524"/>
      <c r="C338" s="108"/>
      <c r="D338" s="13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108"/>
      <c r="R338" s="85"/>
      <c r="S338" s="81"/>
      <c r="T338" s="81"/>
      <c r="U338" s="81"/>
      <c r="V338" s="13"/>
      <c r="W338" s="13"/>
      <c r="BK338" s="14"/>
      <c r="BL338" s="14"/>
    </row>
    <row r="339" spans="2:64" ht="12.75">
      <c r="B339" s="524"/>
      <c r="C339" s="108"/>
      <c r="D339" s="13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108"/>
      <c r="R339" s="85"/>
      <c r="S339" s="81"/>
      <c r="T339" s="81"/>
      <c r="U339" s="81"/>
      <c r="V339" s="13"/>
      <c r="W339" s="13"/>
      <c r="BK339" s="14"/>
      <c r="BL339" s="14"/>
    </row>
    <row r="340" spans="2:64" ht="12.75">
      <c r="B340" s="524"/>
      <c r="C340" s="108"/>
      <c r="D340" s="13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108"/>
      <c r="R340" s="85"/>
      <c r="S340" s="81"/>
      <c r="T340" s="81"/>
      <c r="U340" s="81"/>
      <c r="V340" s="13"/>
      <c r="W340" s="13"/>
      <c r="BK340" s="14"/>
      <c r="BL340" s="14"/>
    </row>
    <row r="341" spans="2:64" ht="12.75">
      <c r="B341" s="524"/>
      <c r="C341" s="108"/>
      <c r="D341" s="13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108"/>
      <c r="R341" s="85"/>
      <c r="S341" s="81"/>
      <c r="T341" s="81"/>
      <c r="U341" s="81"/>
      <c r="V341" s="13"/>
      <c r="W341" s="13"/>
      <c r="BK341" s="14"/>
      <c r="BL341" s="14"/>
    </row>
    <row r="342" spans="2:64" ht="12.75">
      <c r="B342" s="524"/>
      <c r="C342" s="108"/>
      <c r="D342" s="13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108"/>
      <c r="R342" s="85"/>
      <c r="S342" s="81"/>
      <c r="T342" s="81"/>
      <c r="U342" s="81"/>
      <c r="V342" s="13"/>
      <c r="W342" s="13"/>
      <c r="BK342" s="14"/>
      <c r="BL342" s="14"/>
    </row>
    <row r="343" spans="2:64" ht="12.75">
      <c r="B343" s="524"/>
      <c r="C343" s="108"/>
      <c r="D343" s="13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108"/>
      <c r="R343" s="85"/>
      <c r="S343" s="81"/>
      <c r="T343" s="81"/>
      <c r="U343" s="81"/>
      <c r="V343" s="13"/>
      <c r="W343" s="13"/>
      <c r="BK343" s="14"/>
      <c r="BL343" s="14"/>
    </row>
    <row r="344" spans="2:64" ht="12.75">
      <c r="B344" s="524"/>
      <c r="C344" s="108"/>
      <c r="D344" s="13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108"/>
      <c r="R344" s="85"/>
      <c r="S344" s="81"/>
      <c r="T344" s="81"/>
      <c r="U344" s="81"/>
      <c r="V344" s="13"/>
      <c r="W344" s="13"/>
      <c r="BK344" s="14"/>
      <c r="BL344" s="14"/>
    </row>
    <row r="345" spans="2:23" ht="12.75">
      <c r="B345" s="524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1"/>
      <c r="S345" s="13"/>
      <c r="T345" s="13"/>
      <c r="U345" s="13"/>
      <c r="V345" s="13"/>
      <c r="W345" s="13"/>
    </row>
    <row r="346" spans="2:23" ht="12.75">
      <c r="B346" s="524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1"/>
      <c r="S346" s="13"/>
      <c r="T346" s="13"/>
      <c r="U346" s="13"/>
      <c r="V346" s="13"/>
      <c r="W346" s="13"/>
    </row>
    <row r="347" spans="2:23" ht="12.75">
      <c r="B347" s="524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1"/>
      <c r="S347" s="13"/>
      <c r="T347" s="13"/>
      <c r="U347" s="13"/>
      <c r="V347" s="13"/>
      <c r="W347" s="13"/>
    </row>
    <row r="348" spans="2:23" ht="12.75">
      <c r="B348" s="524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1"/>
      <c r="S348" s="13"/>
      <c r="T348" s="13"/>
      <c r="U348" s="13"/>
      <c r="V348" s="13"/>
      <c r="W348" s="13"/>
    </row>
    <row r="349" spans="2:23" ht="12.75">
      <c r="B349" s="524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1"/>
      <c r="S349" s="13"/>
      <c r="T349" s="13"/>
      <c r="U349" s="13"/>
      <c r="V349" s="13"/>
      <c r="W349" s="13"/>
    </row>
    <row r="350" spans="2:23" ht="12.75">
      <c r="B350" s="524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1"/>
      <c r="S350" s="13"/>
      <c r="T350" s="13"/>
      <c r="U350" s="13"/>
      <c r="V350" s="13"/>
      <c r="W350" s="13"/>
    </row>
    <row r="351" spans="2:23" ht="12.75">
      <c r="B351" s="524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1"/>
      <c r="S351" s="13"/>
      <c r="T351" s="13"/>
      <c r="U351" s="13"/>
      <c r="V351" s="13"/>
      <c r="W351" s="13"/>
    </row>
    <row r="352" spans="2:23" ht="12.75">
      <c r="B352" s="524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1"/>
      <c r="S352" s="13"/>
      <c r="T352" s="13"/>
      <c r="U352" s="13"/>
      <c r="V352" s="13"/>
      <c r="W352" s="13"/>
    </row>
    <row r="353" spans="2:23" ht="12.75">
      <c r="B353" s="524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1"/>
      <c r="S353" s="13"/>
      <c r="T353" s="13"/>
      <c r="U353" s="13"/>
      <c r="V353" s="13"/>
      <c r="W353" s="13"/>
    </row>
    <row r="354" spans="2:23" ht="12.75">
      <c r="B354" s="524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1"/>
      <c r="S354" s="13"/>
      <c r="T354" s="13"/>
      <c r="U354" s="13"/>
      <c r="V354" s="13"/>
      <c r="W354" s="13"/>
    </row>
    <row r="355" spans="2:23" ht="12.75">
      <c r="B355" s="524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1"/>
      <c r="S355" s="13"/>
      <c r="T355" s="13"/>
      <c r="U355" s="13"/>
      <c r="V355" s="13"/>
      <c r="W355" s="13"/>
    </row>
    <row r="356" spans="2:23" ht="12.75">
      <c r="B356" s="524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1"/>
      <c r="S356" s="13"/>
      <c r="T356" s="13"/>
      <c r="U356" s="13"/>
      <c r="V356" s="13"/>
      <c r="W356" s="13"/>
    </row>
    <row r="357" spans="2:23" ht="12.75">
      <c r="B357" s="524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1"/>
      <c r="S357" s="13"/>
      <c r="T357" s="13"/>
      <c r="U357" s="13"/>
      <c r="V357" s="13"/>
      <c r="W357" s="13"/>
    </row>
    <row r="358" spans="2:23" ht="12.75">
      <c r="B358" s="524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1"/>
      <c r="S358" s="13"/>
      <c r="T358" s="13"/>
      <c r="U358" s="13"/>
      <c r="V358" s="13"/>
      <c r="W358" s="13"/>
    </row>
    <row r="359" spans="2:23" ht="12.75">
      <c r="B359" s="524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1"/>
      <c r="S359" s="13"/>
      <c r="T359" s="13"/>
      <c r="U359" s="13"/>
      <c r="V359" s="13"/>
      <c r="W359" s="13"/>
    </row>
    <row r="360" spans="2:23" ht="12.75">
      <c r="B360" s="524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13"/>
      <c r="O360" s="25"/>
      <c r="P360" s="25"/>
      <c r="Q360" s="25"/>
      <c r="R360" s="12"/>
      <c r="S360" s="25"/>
      <c r="T360" s="25"/>
      <c r="U360" s="25"/>
      <c r="V360" s="25"/>
      <c r="W360" s="25"/>
    </row>
    <row r="361" spans="2:23" ht="12.75">
      <c r="B361" s="524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13"/>
      <c r="O361" s="25"/>
      <c r="P361" s="25"/>
      <c r="Q361" s="25"/>
      <c r="R361" s="12"/>
      <c r="S361" s="25"/>
      <c r="T361" s="25"/>
      <c r="U361" s="25"/>
      <c r="V361" s="25"/>
      <c r="W361" s="25"/>
    </row>
    <row r="362" spans="2:23" ht="12.75">
      <c r="B362" s="524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13"/>
      <c r="O362" s="25"/>
      <c r="P362" s="25"/>
      <c r="Q362" s="25"/>
      <c r="R362" s="12"/>
      <c r="S362" s="25"/>
      <c r="T362" s="25"/>
      <c r="U362" s="25"/>
      <c r="V362" s="25"/>
      <c r="W362" s="25"/>
    </row>
    <row r="363" spans="2:23" ht="12.75">
      <c r="B363" s="524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13"/>
      <c r="O363" s="25"/>
      <c r="P363" s="25"/>
      <c r="Q363" s="25"/>
      <c r="R363" s="12"/>
      <c r="S363" s="25"/>
      <c r="T363" s="25"/>
      <c r="U363" s="25"/>
      <c r="V363" s="25"/>
      <c r="W363" s="25"/>
    </row>
    <row r="364" spans="2:23" ht="12.75">
      <c r="B364" s="524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13"/>
      <c r="O364" s="25"/>
      <c r="P364" s="25"/>
      <c r="Q364" s="25"/>
      <c r="R364" s="12"/>
      <c r="S364" s="25"/>
      <c r="T364" s="25"/>
      <c r="U364" s="25"/>
      <c r="V364" s="25"/>
      <c r="W364" s="25"/>
    </row>
    <row r="365" spans="2:23" ht="12.75">
      <c r="B365" s="524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13"/>
      <c r="O365" s="25"/>
      <c r="P365" s="25"/>
      <c r="Q365" s="25"/>
      <c r="R365" s="12"/>
      <c r="S365" s="25"/>
      <c r="T365" s="25"/>
      <c r="U365" s="25"/>
      <c r="V365" s="25"/>
      <c r="W365" s="25"/>
    </row>
    <row r="366" spans="2:23" ht="12.75">
      <c r="B366" s="524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13"/>
      <c r="O366" s="25"/>
      <c r="P366" s="25"/>
      <c r="Q366" s="25"/>
      <c r="R366" s="12"/>
      <c r="S366" s="25"/>
      <c r="T366" s="25"/>
      <c r="U366" s="25"/>
      <c r="V366" s="25"/>
      <c r="W366" s="25"/>
    </row>
    <row r="367" spans="2:23" ht="12.75">
      <c r="B367" s="524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13"/>
      <c r="O367" s="25"/>
      <c r="P367" s="25"/>
      <c r="Q367" s="25"/>
      <c r="R367" s="12"/>
      <c r="S367" s="25"/>
      <c r="T367" s="25"/>
      <c r="U367" s="25"/>
      <c r="V367" s="25"/>
      <c r="W367" s="25"/>
    </row>
    <row r="368" spans="2:23" ht="12.75">
      <c r="B368" s="524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13"/>
      <c r="O368" s="25"/>
      <c r="P368" s="25"/>
      <c r="Q368" s="25"/>
      <c r="R368" s="12"/>
      <c r="S368" s="25"/>
      <c r="T368" s="25"/>
      <c r="U368" s="25"/>
      <c r="V368" s="25"/>
      <c r="W368" s="25"/>
    </row>
    <row r="369" spans="2:23" ht="12.75">
      <c r="B369" s="524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13"/>
      <c r="O369" s="25"/>
      <c r="P369" s="25"/>
      <c r="Q369" s="25"/>
      <c r="R369" s="12"/>
      <c r="S369" s="25"/>
      <c r="T369" s="25"/>
      <c r="U369" s="25"/>
      <c r="V369" s="25"/>
      <c r="W369" s="25"/>
    </row>
    <row r="370" spans="2:23" ht="12.75">
      <c r="B370" s="524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13"/>
      <c r="O370" s="25"/>
      <c r="P370" s="25"/>
      <c r="Q370" s="25"/>
      <c r="R370" s="12"/>
      <c r="S370" s="25"/>
      <c r="T370" s="25"/>
      <c r="U370" s="25"/>
      <c r="V370" s="25"/>
      <c r="W370" s="25"/>
    </row>
    <row r="371" spans="2:23" ht="12.75">
      <c r="B371" s="524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13"/>
      <c r="O371" s="25"/>
      <c r="P371" s="25"/>
      <c r="Q371" s="25"/>
      <c r="R371" s="12"/>
      <c r="S371" s="25"/>
      <c r="T371" s="25"/>
      <c r="U371" s="25"/>
      <c r="V371" s="25"/>
      <c r="W371" s="25"/>
    </row>
    <row r="372" spans="2:23" ht="12.75">
      <c r="B372" s="524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13"/>
      <c r="O372" s="25"/>
      <c r="P372" s="25"/>
      <c r="Q372" s="25"/>
      <c r="R372" s="12"/>
      <c r="S372" s="25"/>
      <c r="T372" s="25"/>
      <c r="U372" s="25"/>
      <c r="V372" s="25"/>
      <c r="W372" s="25"/>
    </row>
    <row r="373" spans="2:23" ht="12.75">
      <c r="B373" s="524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13"/>
      <c r="O373" s="25"/>
      <c r="P373" s="25"/>
      <c r="Q373" s="25"/>
      <c r="R373" s="12"/>
      <c r="S373" s="25"/>
      <c r="T373" s="25"/>
      <c r="U373" s="25"/>
      <c r="V373" s="25"/>
      <c r="W373" s="25"/>
    </row>
    <row r="374" spans="2:23" ht="12.75">
      <c r="B374" s="524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13"/>
      <c r="O374" s="25"/>
      <c r="P374" s="25"/>
      <c r="Q374" s="25"/>
      <c r="R374" s="12"/>
      <c r="S374" s="25"/>
      <c r="T374" s="25"/>
      <c r="U374" s="25"/>
      <c r="V374" s="25"/>
      <c r="W374" s="25"/>
    </row>
  </sheetData>
  <sheetProtection password="D5F2" sheet="1" objects="1" scenarios="1"/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421"/>
  <sheetViews>
    <sheetView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2.28125" style="1" customWidth="1"/>
    <col min="2" max="2" width="11.421875" style="114" customWidth="1"/>
    <col min="3" max="3" width="6.57421875" style="18" customWidth="1"/>
    <col min="4" max="4" width="6.8515625" style="18" customWidth="1"/>
    <col min="5" max="5" width="8.140625" style="18" customWidth="1"/>
    <col min="6" max="6" width="14.140625" style="18" customWidth="1"/>
    <col min="7" max="7" width="11.7109375" style="1" customWidth="1"/>
    <col min="8" max="8" width="14.7109375" style="1" customWidth="1"/>
    <col min="9" max="9" width="10.140625" style="1" customWidth="1"/>
    <col min="10" max="10" width="7.00390625" style="1" customWidth="1"/>
    <col min="11" max="11" width="2.421875" style="1" customWidth="1"/>
    <col min="12" max="12" width="16.8515625" style="1" customWidth="1"/>
    <col min="13" max="13" width="8.28125" style="1" customWidth="1"/>
    <col min="14" max="14" width="9.140625" style="1" customWidth="1"/>
    <col min="15" max="15" width="9.8515625" style="3" customWidth="1"/>
    <col min="16" max="16" width="8.7109375" style="1" customWidth="1"/>
    <col min="17" max="17" width="8.28125" style="1" customWidth="1"/>
    <col min="18" max="18" width="8.00390625" style="1" customWidth="1"/>
    <col min="19" max="19" width="8.00390625" style="4" customWidth="1"/>
    <col min="20" max="20" width="8.421875" style="1" customWidth="1"/>
    <col min="21" max="21" width="8.140625" style="1" customWidth="1"/>
    <col min="22" max="22" width="7.8515625" style="1" customWidth="1"/>
    <col min="23" max="23" width="3.421875" style="1" customWidth="1"/>
    <col min="24" max="24" width="2.8515625" style="1" customWidth="1"/>
    <col min="25" max="25" width="7.421875" style="1" customWidth="1"/>
    <col min="26" max="26" width="4.7109375" style="5" customWidth="1"/>
    <col min="27" max="27" width="7.57421875" style="1" customWidth="1"/>
    <col min="28" max="28" width="7.140625" style="1" customWidth="1"/>
    <col min="29" max="29" width="5.7109375" style="3" customWidth="1"/>
    <col min="30" max="30" width="6.28125" style="1" customWidth="1"/>
    <col min="31" max="40" width="11.421875" style="1" customWidth="1"/>
    <col min="41" max="45" width="11.421875" style="1" hidden="1" customWidth="1"/>
    <col min="46" max="58" width="9.140625" style="1" hidden="1" customWidth="1"/>
    <col min="59" max="64" width="9.140625" style="6" hidden="1" customWidth="1"/>
    <col min="65" max="65" width="7.28125" style="6" hidden="1" customWidth="1"/>
    <col min="66" max="71" width="9.140625" style="6" hidden="1" customWidth="1"/>
    <col min="72" max="80" width="9.140625" style="17" hidden="1" customWidth="1"/>
    <col min="81" max="84" width="11.421875" style="18" hidden="1" customWidth="1"/>
    <col min="85" max="85" width="9.57421875" style="372" customWidth="1"/>
    <col min="86" max="86" width="6.421875" style="372" customWidth="1"/>
    <col min="87" max="87" width="6.140625" style="372" customWidth="1"/>
    <col min="88" max="88" width="6.7109375" style="372" customWidth="1"/>
    <col min="89" max="89" width="9.57421875" style="372" customWidth="1"/>
    <col min="90" max="90" width="7.00390625" style="372" customWidth="1"/>
    <col min="91" max="91" width="6.28125" style="372" customWidth="1"/>
    <col min="92" max="92" width="6.8515625" style="372" customWidth="1"/>
    <col min="93" max="93" width="6.7109375" style="372" customWidth="1"/>
    <col min="94" max="94" width="5.8515625" style="372" customWidth="1"/>
    <col min="95" max="98" width="11.421875" style="372" customWidth="1"/>
    <col min="99" max="16384" width="11.421875" style="18" customWidth="1"/>
  </cols>
  <sheetData>
    <row r="1" spans="1:107" s="1" customFormat="1" ht="12.75">
      <c r="A1" s="239"/>
      <c r="B1" s="240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3"/>
      <c r="R1" s="239"/>
      <c r="S1" s="244"/>
      <c r="T1" s="239"/>
      <c r="U1" s="239"/>
      <c r="W1" s="239"/>
      <c r="X1" s="239"/>
      <c r="Y1" s="239"/>
      <c r="Z1" s="245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</row>
    <row r="2" spans="1:107" s="7" customFormat="1" ht="20.25">
      <c r="A2" s="241"/>
      <c r="B2" s="364" t="s">
        <v>0</v>
      </c>
      <c r="C2" s="345"/>
      <c r="D2" s="345"/>
      <c r="E2" s="346"/>
      <c r="F2" s="347"/>
      <c r="G2" s="348"/>
      <c r="H2" s="348"/>
      <c r="I2" s="348"/>
      <c r="J2" s="349"/>
      <c r="K2" s="246"/>
      <c r="L2" s="368" t="s">
        <v>1</v>
      </c>
      <c r="M2" s="365"/>
      <c r="N2" s="365"/>
      <c r="O2" s="459"/>
      <c r="P2" s="250"/>
      <c r="Q2" s="241"/>
      <c r="R2" s="241"/>
      <c r="S2" s="25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P2" s="1"/>
      <c r="AQ2" s="1"/>
      <c r="AR2" s="1"/>
      <c r="AS2" s="1"/>
      <c r="AT2" s="1"/>
      <c r="AU2" s="1"/>
      <c r="AV2" s="1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</row>
    <row r="3" spans="1:107" s="1" customFormat="1" ht="15">
      <c r="A3" s="239"/>
      <c r="B3" s="350"/>
      <c r="C3" s="351"/>
      <c r="D3" s="351"/>
      <c r="E3" s="351"/>
      <c r="F3" s="352" t="str">
        <f>CONCATENATE(CHAR(71),CHAR(108),CHAR(97),CHAR(117),CHAR(99),CHAR(111),CHAR(32),CHAR(32),CHAR(100),CHAR(101),CHAR(32),CHAR(83),CHAR(111),CHAR(117),CHAR(122),CHAR(97),CHAR(32),CHAR(82),CHAR(111),CHAR(108),CHAR(105),CHAR(109))</f>
        <v>Glauco  de Souza Rolim</v>
      </c>
      <c r="G3" s="351"/>
      <c r="H3" s="351"/>
      <c r="I3" s="351"/>
      <c r="J3" s="353"/>
      <c r="K3" s="247"/>
      <c r="L3" s="369" t="s">
        <v>2</v>
      </c>
      <c r="M3" s="366"/>
      <c r="N3" s="366"/>
      <c r="O3" s="460"/>
      <c r="P3" s="97"/>
      <c r="Q3" s="69"/>
      <c r="R3" s="252"/>
      <c r="S3" s="253"/>
      <c r="T3" s="252"/>
      <c r="U3" s="252"/>
      <c r="V3" s="252"/>
      <c r="W3" s="69"/>
      <c r="X3" s="69"/>
      <c r="Y3" s="239"/>
      <c r="Z3" s="253"/>
      <c r="AA3" s="69"/>
      <c r="AB3" s="69"/>
      <c r="AC3" s="244"/>
      <c r="AD3" s="244"/>
      <c r="AE3" s="244"/>
      <c r="AF3" s="244"/>
      <c r="AG3" s="244"/>
      <c r="AH3" s="244"/>
      <c r="AI3" s="244"/>
      <c r="AJ3" s="244"/>
      <c r="AK3" s="244"/>
      <c r="AL3" s="253"/>
      <c r="AM3" s="253"/>
      <c r="AN3" s="253"/>
      <c r="AW3" s="13"/>
      <c r="BG3" s="14" t="s">
        <v>87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</row>
    <row r="4" spans="1:107" s="1" customFormat="1" ht="15">
      <c r="A4" s="239"/>
      <c r="B4" s="354"/>
      <c r="C4" s="351"/>
      <c r="D4" s="351"/>
      <c r="E4" s="351"/>
      <c r="F4" s="352" t="str">
        <f>CONCATENATE(CHAR(80),CHAR(97),CHAR(117),CHAR(108),CHAR(111),CHAR(32),CHAR(67),CHAR(101),CHAR(115),CHAR(97),CHAR(114),CHAR(32),CHAR(83),CHAR(101),CHAR(110),CHAR(116),CHAR(101),CHAR(108),CHAR(104),CHAR(97),CHAR(115))</f>
        <v>Paulo Cesar Sentelhas</v>
      </c>
      <c r="G4" s="351"/>
      <c r="H4" s="351"/>
      <c r="I4" s="351"/>
      <c r="J4" s="353"/>
      <c r="K4" s="247"/>
      <c r="L4" s="370" t="s">
        <v>3</v>
      </c>
      <c r="M4" s="366"/>
      <c r="N4" s="366"/>
      <c r="O4" s="460"/>
      <c r="P4" s="97"/>
      <c r="Q4" s="69"/>
      <c r="R4" s="252"/>
      <c r="S4" s="253"/>
      <c r="T4" s="252"/>
      <c r="U4" s="252"/>
      <c r="V4" s="252"/>
      <c r="W4" s="69"/>
      <c r="X4" s="69"/>
      <c r="Y4" s="239"/>
      <c r="Z4" s="253"/>
      <c r="AA4" s="69"/>
      <c r="AB4" s="69"/>
      <c r="AC4" s="244"/>
      <c r="AD4" s="244"/>
      <c r="AE4" s="244"/>
      <c r="AF4" s="244"/>
      <c r="AG4" s="244"/>
      <c r="AH4" s="244"/>
      <c r="AI4" s="244"/>
      <c r="AJ4" s="244"/>
      <c r="AK4" s="244"/>
      <c r="AL4" s="253"/>
      <c r="AM4" s="253"/>
      <c r="AN4" s="253"/>
      <c r="AW4" s="13"/>
      <c r="BG4" s="14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</row>
    <row r="5" spans="1:107" s="1" customFormat="1" ht="20.25" customHeight="1">
      <c r="A5" s="239"/>
      <c r="B5" s="355"/>
      <c r="C5" s="357" t="s">
        <v>4</v>
      </c>
      <c r="D5" s="357"/>
      <c r="E5" s="356"/>
      <c r="F5" s="356"/>
      <c r="G5" s="357" t="s">
        <v>5</v>
      </c>
      <c r="H5" s="358"/>
      <c r="I5" s="358"/>
      <c r="J5" s="359"/>
      <c r="K5" s="248"/>
      <c r="L5" s="371" t="s">
        <v>88</v>
      </c>
      <c r="M5" s="367"/>
      <c r="N5" s="367"/>
      <c r="O5" s="461"/>
      <c r="P5" s="97"/>
      <c r="Q5" s="69"/>
      <c r="R5" s="252"/>
      <c r="S5" s="253"/>
      <c r="T5" s="252"/>
      <c r="U5" s="252"/>
      <c r="V5" s="252"/>
      <c r="W5" s="69"/>
      <c r="X5" s="69"/>
      <c r="Y5" s="239"/>
      <c r="Z5" s="253"/>
      <c r="AA5" s="69"/>
      <c r="AB5" s="69"/>
      <c r="AC5" s="244"/>
      <c r="AD5" s="244"/>
      <c r="AE5" s="244"/>
      <c r="AF5" s="244"/>
      <c r="AG5" s="244"/>
      <c r="AH5" s="244"/>
      <c r="AI5" s="244"/>
      <c r="AJ5" s="244"/>
      <c r="AK5" s="244"/>
      <c r="AL5" s="253"/>
      <c r="AM5" s="253"/>
      <c r="AN5" s="253"/>
      <c r="AW5" s="13"/>
      <c r="BG5" s="14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</row>
    <row r="6" spans="1:107" s="1" customFormat="1" ht="15.75" thickBot="1">
      <c r="A6" s="239"/>
      <c r="B6" s="360"/>
      <c r="C6" s="361"/>
      <c r="D6" s="361"/>
      <c r="E6" s="362"/>
      <c r="F6" s="682" t="s">
        <v>9</v>
      </c>
      <c r="G6" s="362"/>
      <c r="H6" s="362"/>
      <c r="I6" s="362"/>
      <c r="J6" s="363" t="s">
        <v>10</v>
      </c>
      <c r="K6" s="249"/>
      <c r="L6" s="247"/>
      <c r="M6" s="248"/>
      <c r="N6" s="254"/>
      <c r="O6" s="239"/>
      <c r="P6" s="247"/>
      <c r="Q6" s="69"/>
      <c r="R6" s="252"/>
      <c r="S6" s="253"/>
      <c r="T6" s="252"/>
      <c r="U6" s="252"/>
      <c r="V6" s="252"/>
      <c r="W6" s="69"/>
      <c r="X6" s="69"/>
      <c r="Y6" s="239"/>
      <c r="Z6" s="253"/>
      <c r="AA6" s="69"/>
      <c r="AB6" s="69"/>
      <c r="AC6" s="244"/>
      <c r="AD6" s="244"/>
      <c r="AE6" s="244"/>
      <c r="AF6" s="244"/>
      <c r="AG6" s="244"/>
      <c r="AH6" s="244"/>
      <c r="AI6" s="244"/>
      <c r="AJ6" s="244"/>
      <c r="AK6" s="244"/>
      <c r="AL6" s="253"/>
      <c r="AM6" s="253"/>
      <c r="AN6" s="253"/>
      <c r="AW6" s="13"/>
      <c r="BG6" s="14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</row>
    <row r="7" spans="1:107" s="1" customFormat="1" ht="6.75" customHeight="1">
      <c r="A7" s="239"/>
      <c r="B7" s="240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44"/>
      <c r="T7" s="239"/>
      <c r="U7" s="239"/>
      <c r="V7" s="239"/>
      <c r="W7" s="239"/>
      <c r="X7" s="239"/>
      <c r="Y7" s="239"/>
      <c r="Z7" s="245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</row>
    <row r="8" spans="1:107" ht="17.25" customHeight="1">
      <c r="A8" s="239"/>
      <c r="B8" s="428" t="s">
        <v>11</v>
      </c>
      <c r="C8" s="465" t="s">
        <v>89</v>
      </c>
      <c r="D8" s="466"/>
      <c r="E8" s="466"/>
      <c r="F8" s="470"/>
      <c r="G8" s="439"/>
      <c r="H8" s="434" t="s">
        <v>13</v>
      </c>
      <c r="I8" s="435">
        <v>-22.42</v>
      </c>
      <c r="J8" s="570">
        <f>IF(OR(I8&lt;-90,I8&gt;90),"ERRO! ( -90 &lt; LAT &lt; +90)","")</f>
      </c>
      <c r="K8" s="260"/>
      <c r="M8" s="573">
        <f>IF(OR(I8&lt;-90,I8&gt;90),0,I8)</f>
        <v>-22.42</v>
      </c>
      <c r="N8" s="239"/>
      <c r="O8" s="239"/>
      <c r="P8" s="239"/>
      <c r="Q8" s="239"/>
      <c r="R8" s="239"/>
      <c r="S8" s="244"/>
      <c r="T8" s="239"/>
      <c r="U8" s="239"/>
      <c r="V8" s="239"/>
      <c r="W8" s="245"/>
      <c r="X8" s="245"/>
      <c r="Y8" s="245"/>
      <c r="Z8" s="69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44"/>
      <c r="AL8" s="253"/>
      <c r="AM8" s="253"/>
      <c r="AN8" s="253"/>
      <c r="BM8" s="1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</row>
    <row r="9" spans="1:107" ht="5.25" customHeight="1">
      <c r="A9" s="239"/>
      <c r="B9" s="239"/>
      <c r="C9" s="239"/>
      <c r="D9" s="255"/>
      <c r="E9" s="256"/>
      <c r="F9" s="257"/>
      <c r="G9" s="235"/>
      <c r="H9" s="245"/>
      <c r="I9" s="258"/>
      <c r="J9" s="239"/>
      <c r="K9" s="245"/>
      <c r="L9" s="239"/>
      <c r="M9" s="239"/>
      <c r="N9" s="239"/>
      <c r="O9" s="239"/>
      <c r="P9" s="239"/>
      <c r="Q9" s="239"/>
      <c r="R9" s="239"/>
      <c r="S9" s="244"/>
      <c r="T9" s="239"/>
      <c r="U9" s="239"/>
      <c r="V9" s="239"/>
      <c r="W9" s="245"/>
      <c r="X9" s="245"/>
      <c r="Y9" s="245"/>
      <c r="Z9" s="69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44"/>
      <c r="AL9" s="253"/>
      <c r="AM9" s="253"/>
      <c r="AN9" s="253"/>
      <c r="BM9" s="1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</row>
    <row r="10" spans="1:107" ht="15.75" customHeight="1">
      <c r="A10" s="239"/>
      <c r="B10" s="432" t="s">
        <v>14</v>
      </c>
      <c r="C10" s="436">
        <v>125</v>
      </c>
      <c r="D10" s="569">
        <f>IF(C10&lt;0,"ERRO! Valor Negativo","")</f>
      </c>
      <c r="E10" s="256"/>
      <c r="F10" s="257"/>
      <c r="G10" s="239"/>
      <c r="H10" s="437" t="s">
        <v>15</v>
      </c>
      <c r="I10" s="438">
        <v>1998</v>
      </c>
      <c r="K10" s="270"/>
      <c r="L10" s="239"/>
      <c r="M10" s="239"/>
      <c r="N10" s="239"/>
      <c r="O10" s="239"/>
      <c r="P10" s="239"/>
      <c r="Q10" s="239"/>
      <c r="R10" s="239"/>
      <c r="S10" s="244"/>
      <c r="T10" s="239"/>
      <c r="U10" s="239"/>
      <c r="V10" s="239"/>
      <c r="W10" s="245"/>
      <c r="X10" s="245"/>
      <c r="Y10" s="245"/>
      <c r="Z10" s="69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44"/>
      <c r="AL10" s="253"/>
      <c r="AM10" s="253"/>
      <c r="AN10" s="253"/>
      <c r="AT10" s="19" t="s">
        <v>7</v>
      </c>
      <c r="AU10" s="20"/>
      <c r="AV10" s="20"/>
      <c r="AW10" s="21" t="s">
        <v>8</v>
      </c>
      <c r="AX10" s="22">
        <f>IF(C10&gt;0,IF(BJ56=0,2,1),"?")</f>
        <v>1</v>
      </c>
      <c r="BG10" s="6" t="s">
        <v>90</v>
      </c>
      <c r="BM10" s="1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</row>
    <row r="11" spans="1:107" ht="5.25" customHeight="1">
      <c r="A11" s="239"/>
      <c r="B11" s="580"/>
      <c r="C11" s="575"/>
      <c r="D11" s="570"/>
      <c r="E11" s="256"/>
      <c r="F11" s="257"/>
      <c r="G11" s="239"/>
      <c r="H11" s="581"/>
      <c r="I11" s="576"/>
      <c r="J11" s="239"/>
      <c r="K11" s="270"/>
      <c r="L11" s="239"/>
      <c r="M11" s="239"/>
      <c r="N11" s="239"/>
      <c r="O11" s="239"/>
      <c r="P11" s="239"/>
      <c r="Q11" s="239"/>
      <c r="R11" s="239"/>
      <c r="S11" s="244"/>
      <c r="T11" s="239"/>
      <c r="U11" s="239"/>
      <c r="V11" s="239"/>
      <c r="W11" s="245"/>
      <c r="X11" s="245"/>
      <c r="Y11" s="245"/>
      <c r="Z11" s="69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44"/>
      <c r="AL11" s="253"/>
      <c r="AM11" s="253"/>
      <c r="AN11" s="253"/>
      <c r="AT11" s="577"/>
      <c r="AU11" s="577"/>
      <c r="AV11" s="577"/>
      <c r="AW11" s="578"/>
      <c r="AX11" s="579"/>
      <c r="BM11" s="1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</row>
    <row r="12" spans="1:107" s="3" customFormat="1" ht="15.75">
      <c r="A12" s="239"/>
      <c r="B12" s="261" t="s">
        <v>19</v>
      </c>
      <c r="C12" s="239"/>
      <c r="D12" s="262">
        <f>IF(C10&lt;=0,"A CAD deve ser um valor positivo !!","")</f>
      </c>
      <c r="E12" s="263"/>
      <c r="F12" s="263"/>
      <c r="G12" s="239"/>
      <c r="H12" s="437" t="s">
        <v>20</v>
      </c>
      <c r="I12" s="438">
        <v>1</v>
      </c>
      <c r="J12" s="239"/>
      <c r="K12" s="239"/>
      <c r="L12" s="239"/>
      <c r="M12" s="239"/>
      <c r="N12" s="239"/>
      <c r="O12" s="239"/>
      <c r="P12" s="239"/>
      <c r="Q12" s="239"/>
      <c r="R12" s="265" t="s">
        <v>18</v>
      </c>
      <c r="S12" s="244"/>
      <c r="T12" s="239"/>
      <c r="U12" s="239"/>
      <c r="V12" s="239"/>
      <c r="W12" s="245"/>
      <c r="X12" s="245"/>
      <c r="Y12" s="245"/>
      <c r="Z12" s="69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44"/>
      <c r="AL12" s="253"/>
      <c r="AM12" s="253"/>
      <c r="AN12" s="253"/>
      <c r="AP12" s="1"/>
      <c r="AQ12" s="1"/>
      <c r="AR12" s="1"/>
      <c r="AS12" s="1"/>
      <c r="AT12" s="1"/>
      <c r="AU12" s="1"/>
      <c r="AV12" s="1"/>
      <c r="BG12" s="6" t="s">
        <v>21</v>
      </c>
      <c r="BH12" s="6"/>
      <c r="BI12" s="6"/>
      <c r="BJ12" s="6"/>
      <c r="BK12" s="6"/>
      <c r="BL12" s="6"/>
      <c r="BM12" s="1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</row>
    <row r="13" spans="1:107" s="1" customFormat="1" ht="15" customHeight="1">
      <c r="A13" s="239"/>
      <c r="B13" s="266" t="str">
        <f>IF(BJ56=0,"Os valores não foram suficientes para iniciar o BH na capacidade de campo!!, os cálculos foram iniciados no decêndio de maior valor de P-ETP",IF(AX10="?","","Cálculos OK! "))</f>
        <v>Cálculos OK! </v>
      </c>
      <c r="C13" s="239"/>
      <c r="D13" s="239"/>
      <c r="E13" s="239"/>
      <c r="F13" s="239"/>
      <c r="H13" s="239"/>
      <c r="I13" s="239"/>
      <c r="J13" s="568">
        <f>IF(OR(I12&lt;1,I12&gt;365),"ERRO! ( 1&lt;NDA&lt;365 )","")</f>
      </c>
      <c r="K13" s="239"/>
      <c r="L13" s="239"/>
      <c r="M13" s="239"/>
      <c r="N13" s="239"/>
      <c r="O13" s="239"/>
      <c r="P13" s="239"/>
      <c r="Q13" s="239"/>
      <c r="R13" s="239"/>
      <c r="S13" s="244"/>
      <c r="T13" s="239"/>
      <c r="U13" s="245"/>
      <c r="V13" s="245"/>
      <c r="W13" s="239"/>
      <c r="X13" s="239"/>
      <c r="Y13" s="239"/>
      <c r="Z13" s="69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44"/>
      <c r="AL13" s="253"/>
      <c r="AM13" s="253"/>
      <c r="AN13" s="253"/>
      <c r="BG13" s="14">
        <f>$BX$13</f>
        <v>125</v>
      </c>
      <c r="BH13" s="23" t="s">
        <v>18</v>
      </c>
      <c r="BI13" s="16">
        <v>16.9</v>
      </c>
      <c r="BJ13" s="24">
        <v>0</v>
      </c>
      <c r="BK13" s="24"/>
      <c r="BL13" s="16">
        <v>0</v>
      </c>
      <c r="BM13" s="16">
        <v>0</v>
      </c>
      <c r="BN13" s="16">
        <v>0</v>
      </c>
      <c r="BO13" s="16">
        <v>0</v>
      </c>
      <c r="BP13" s="16"/>
      <c r="BQ13" s="16"/>
      <c r="BR13" s="16"/>
      <c r="BS13" s="14"/>
      <c r="BT13" s="14"/>
      <c r="BU13" s="14"/>
      <c r="BV13" s="14">
        <v>0</v>
      </c>
      <c r="BW13" s="16">
        <v>0</v>
      </c>
      <c r="BX13" s="16">
        <f>C10</f>
        <v>125</v>
      </c>
      <c r="BY13" s="24">
        <v>0</v>
      </c>
      <c r="BZ13" s="14">
        <v>0</v>
      </c>
      <c r="CA13" s="14">
        <v>0</v>
      </c>
      <c r="CB13" s="14">
        <v>0</v>
      </c>
      <c r="CC13" s="10" t="s">
        <v>18</v>
      </c>
      <c r="CE13" s="1">
        <v>10</v>
      </c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</row>
    <row r="14" spans="1:107" s="1" customFormat="1" ht="12" customHeight="1">
      <c r="A14" s="239"/>
      <c r="B14" s="267"/>
      <c r="C14" s="268"/>
      <c r="D14" s="69"/>
      <c r="E14" s="253"/>
      <c r="F14" s="69"/>
      <c r="G14" s="69"/>
      <c r="H14" s="69"/>
      <c r="I14" s="69"/>
      <c r="J14" s="239"/>
      <c r="K14" s="239"/>
      <c r="L14" s="239"/>
      <c r="M14" s="239"/>
      <c r="N14" s="69"/>
      <c r="O14" s="69"/>
      <c r="P14" s="69"/>
      <c r="Q14" s="69"/>
      <c r="R14" s="265"/>
      <c r="S14" s="253"/>
      <c r="T14" s="252"/>
      <c r="U14" s="252"/>
      <c r="V14" s="252"/>
      <c r="W14" s="69"/>
      <c r="X14" s="69"/>
      <c r="Y14" s="239"/>
      <c r="Z14" s="253"/>
      <c r="AA14" s="69"/>
      <c r="AB14" s="69"/>
      <c r="AC14" s="69"/>
      <c r="AD14" s="244"/>
      <c r="AE14" s="244"/>
      <c r="AF14" s="244"/>
      <c r="AG14" s="244"/>
      <c r="AH14" s="244"/>
      <c r="AI14" s="244"/>
      <c r="AJ14" s="244"/>
      <c r="AK14" s="244"/>
      <c r="AL14" s="253"/>
      <c r="AM14" s="253"/>
      <c r="AN14" s="253"/>
      <c r="AW14" s="13"/>
      <c r="BG14" s="14"/>
      <c r="BH14" s="6"/>
      <c r="BI14" s="6"/>
      <c r="BJ14" s="26" t="s">
        <v>22</v>
      </c>
      <c r="BK14" s="26"/>
      <c r="BL14" s="27" t="s">
        <v>18</v>
      </c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</row>
    <row r="15" spans="1:107" ht="13.5" thickBot="1">
      <c r="A15" s="239"/>
      <c r="B15" s="28" t="s">
        <v>23</v>
      </c>
      <c r="C15" s="29"/>
      <c r="D15" s="29"/>
      <c r="E15" s="410"/>
      <c r="F15" s="257"/>
      <c r="G15" s="257"/>
      <c r="H15" s="257"/>
      <c r="I15" s="257"/>
      <c r="J15" s="257"/>
      <c r="K15" s="257"/>
      <c r="L15" s="257"/>
      <c r="M15" s="30" t="s">
        <v>24</v>
      </c>
      <c r="N15" s="31"/>
      <c r="O15" s="31"/>
      <c r="P15" s="31"/>
      <c r="Q15" s="239"/>
      <c r="R15" s="239"/>
      <c r="S15" s="239"/>
      <c r="T15" s="239" t="s">
        <v>18</v>
      </c>
      <c r="U15" s="239"/>
      <c r="V15" s="239"/>
      <c r="W15" s="245"/>
      <c r="X15" s="245"/>
      <c r="Y15" s="245"/>
      <c r="Z15" s="69" t="s">
        <v>18</v>
      </c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44"/>
      <c r="AL15" s="253"/>
      <c r="AM15" s="253"/>
      <c r="AN15" s="253"/>
      <c r="BM15" s="1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</row>
    <row r="16" spans="1:107" s="43" customFormat="1" ht="15">
      <c r="A16" s="242"/>
      <c r="B16" s="87" t="s">
        <v>25</v>
      </c>
      <c r="C16" s="88" t="s">
        <v>26</v>
      </c>
      <c r="D16" s="542" t="s">
        <v>27</v>
      </c>
      <c r="E16" s="89" t="s">
        <v>28</v>
      </c>
      <c r="F16" s="89" t="s">
        <v>29</v>
      </c>
      <c r="G16" s="115" t="s">
        <v>30</v>
      </c>
      <c r="H16" s="115" t="s">
        <v>31</v>
      </c>
      <c r="I16" s="115"/>
      <c r="J16" s="89" t="s">
        <v>18</v>
      </c>
      <c r="K16" s="89"/>
      <c r="L16" s="34" t="s">
        <v>32</v>
      </c>
      <c r="M16" s="35"/>
      <c r="N16" s="120" t="s">
        <v>18</v>
      </c>
      <c r="O16" s="120" t="s">
        <v>18</v>
      </c>
      <c r="P16" s="120"/>
      <c r="Q16" s="120"/>
      <c r="R16" s="36"/>
      <c r="S16" s="36"/>
      <c r="T16" s="36"/>
      <c r="U16" s="36"/>
      <c r="V16" s="36"/>
      <c r="W16" s="271"/>
      <c r="X16" s="272"/>
      <c r="Y16" s="272"/>
      <c r="Z16" s="242"/>
      <c r="AA16" s="242"/>
      <c r="AB16" s="242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32"/>
      <c r="AP16" s="32"/>
      <c r="AQ16" s="32"/>
      <c r="AR16" s="32"/>
      <c r="AS16" s="32"/>
      <c r="AT16" s="33" t="s">
        <v>33</v>
      </c>
      <c r="AU16" s="33"/>
      <c r="AV16" s="33"/>
      <c r="AW16" s="33" t="s">
        <v>34</v>
      </c>
      <c r="AX16" s="33" t="s">
        <v>35</v>
      </c>
      <c r="AY16" s="33" t="s">
        <v>36</v>
      </c>
      <c r="AZ16" s="33" t="s">
        <v>37</v>
      </c>
      <c r="BA16" s="37" t="s">
        <v>38</v>
      </c>
      <c r="BB16" s="38" t="s">
        <v>39</v>
      </c>
      <c r="BC16" s="33" t="s">
        <v>40</v>
      </c>
      <c r="BD16" s="33" t="s">
        <v>41</v>
      </c>
      <c r="BE16" s="34" t="s">
        <v>42</v>
      </c>
      <c r="BF16" s="32"/>
      <c r="BG16" s="39" t="s">
        <v>38</v>
      </c>
      <c r="BH16" s="40"/>
      <c r="BI16" s="39" t="s">
        <v>43</v>
      </c>
      <c r="BJ16" s="41" t="s">
        <v>43</v>
      </c>
      <c r="BK16" s="41"/>
      <c r="BL16" s="41"/>
      <c r="BM16" s="39" t="s">
        <v>18</v>
      </c>
      <c r="BN16" s="40"/>
      <c r="BO16" s="40"/>
      <c r="BP16" s="40"/>
      <c r="BQ16" s="40"/>
      <c r="BR16" s="40"/>
      <c r="BS16" s="40"/>
      <c r="BT16" s="42"/>
      <c r="BU16" s="42"/>
      <c r="BV16" s="42"/>
      <c r="BW16" s="42"/>
      <c r="BX16" s="42"/>
      <c r="BY16" s="42"/>
      <c r="BZ16" s="42"/>
      <c r="CA16" s="42"/>
      <c r="CB16" s="42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</row>
    <row r="17" spans="1:107" s="43" customFormat="1" ht="15">
      <c r="A17" s="242"/>
      <c r="B17" s="91" t="s">
        <v>18</v>
      </c>
      <c r="C17" s="92" t="s">
        <v>45</v>
      </c>
      <c r="D17" s="93" t="s">
        <v>18</v>
      </c>
      <c r="E17" s="93" t="s">
        <v>46</v>
      </c>
      <c r="F17" s="93" t="s">
        <v>47</v>
      </c>
      <c r="G17" s="116" t="s">
        <v>48</v>
      </c>
      <c r="H17" s="92" t="s">
        <v>18</v>
      </c>
      <c r="I17" s="92" t="s">
        <v>18</v>
      </c>
      <c r="J17" s="92" t="s">
        <v>18</v>
      </c>
      <c r="K17" s="92"/>
      <c r="L17" s="118" t="s">
        <v>49</v>
      </c>
      <c r="M17" s="45"/>
      <c r="N17" s="217" t="s">
        <v>50</v>
      </c>
      <c r="O17" s="121"/>
      <c r="P17" s="121"/>
      <c r="Q17" s="121"/>
      <c r="R17" s="46"/>
      <c r="S17" s="46"/>
      <c r="T17" s="46"/>
      <c r="U17" s="46"/>
      <c r="V17" s="46"/>
      <c r="W17" s="271"/>
      <c r="X17" s="272"/>
      <c r="Y17" s="272"/>
      <c r="Z17" s="47" t="s">
        <v>79</v>
      </c>
      <c r="AA17" s="48"/>
      <c r="AB17" s="49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32"/>
      <c r="AP17" s="32"/>
      <c r="AQ17" s="32"/>
      <c r="AR17" s="32"/>
      <c r="AS17" s="32"/>
      <c r="AT17" s="44" t="s">
        <v>47</v>
      </c>
      <c r="AU17" s="44"/>
      <c r="AV17" s="44"/>
      <c r="AW17" s="50" t="s">
        <v>91</v>
      </c>
      <c r="AX17" s="50" t="s">
        <v>91</v>
      </c>
      <c r="AY17" s="44"/>
      <c r="AZ17" s="44"/>
      <c r="BA17" s="51" t="s">
        <v>47</v>
      </c>
      <c r="BB17" s="52" t="s">
        <v>47</v>
      </c>
      <c r="BC17" s="44" t="s">
        <v>47</v>
      </c>
      <c r="BD17" s="44" t="s">
        <v>47</v>
      </c>
      <c r="BE17" s="53" t="s">
        <v>47</v>
      </c>
      <c r="BF17" s="32"/>
      <c r="BG17" s="39" t="s">
        <v>52</v>
      </c>
      <c r="BH17" s="40"/>
      <c r="BI17" s="39">
        <v>2</v>
      </c>
      <c r="BJ17" s="39">
        <v>1</v>
      </c>
      <c r="BK17" s="39"/>
      <c r="BL17" s="39"/>
      <c r="BM17" s="39"/>
      <c r="BN17" s="40"/>
      <c r="BO17" s="40"/>
      <c r="BP17" s="40"/>
      <c r="BQ17" s="40"/>
      <c r="BR17" s="40"/>
      <c r="BS17" s="40"/>
      <c r="BT17" s="42"/>
      <c r="BU17" s="42"/>
      <c r="BV17" s="42"/>
      <c r="BW17" s="42"/>
      <c r="BX17" s="42"/>
      <c r="BY17" s="42"/>
      <c r="BZ17" s="42"/>
      <c r="CA17" s="42"/>
      <c r="CB17" s="42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</row>
    <row r="18" spans="1:107" s="58" customFormat="1" ht="15">
      <c r="A18" s="242"/>
      <c r="B18" s="54" t="s">
        <v>18</v>
      </c>
      <c r="C18" s="94" t="s">
        <v>53</v>
      </c>
      <c r="D18" s="95" t="s">
        <v>18</v>
      </c>
      <c r="E18" s="55" t="s">
        <v>18</v>
      </c>
      <c r="F18" s="55" t="s">
        <v>18</v>
      </c>
      <c r="G18" s="117" t="s">
        <v>18</v>
      </c>
      <c r="H18" s="94" t="s">
        <v>18</v>
      </c>
      <c r="I18" s="94" t="s">
        <v>18</v>
      </c>
      <c r="J18" s="94" t="s">
        <v>18</v>
      </c>
      <c r="K18" s="94"/>
      <c r="L18" s="119">
        <v>1948</v>
      </c>
      <c r="M18" s="56" t="s">
        <v>18</v>
      </c>
      <c r="N18" s="123" t="s">
        <v>54</v>
      </c>
      <c r="O18" s="122" t="s">
        <v>55</v>
      </c>
      <c r="P18" s="122" t="s">
        <v>30</v>
      </c>
      <c r="Q18" s="57"/>
      <c r="R18" s="57"/>
      <c r="S18" s="57"/>
      <c r="T18" s="57"/>
      <c r="U18" s="57"/>
      <c r="V18" s="57"/>
      <c r="W18" s="274"/>
      <c r="X18" s="275"/>
      <c r="Y18" s="242"/>
      <c r="Z18" s="59" t="s">
        <v>80</v>
      </c>
      <c r="AA18" s="60" t="s">
        <v>81</v>
      </c>
      <c r="AB18" s="61" t="s">
        <v>42</v>
      </c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32"/>
      <c r="AP18" s="32"/>
      <c r="AQ18" s="32"/>
      <c r="AR18" s="32"/>
      <c r="AS18" s="32"/>
      <c r="AT18" s="55" t="s">
        <v>18</v>
      </c>
      <c r="AU18" s="55" t="s">
        <v>56</v>
      </c>
      <c r="AV18" s="55" t="s">
        <v>57</v>
      </c>
      <c r="AW18" s="55" t="s">
        <v>47</v>
      </c>
      <c r="AX18" s="55" t="s">
        <v>47</v>
      </c>
      <c r="AY18" s="55"/>
      <c r="AZ18" s="55"/>
      <c r="BA18" s="62" t="s">
        <v>18</v>
      </c>
      <c r="BB18" s="63" t="s">
        <v>18</v>
      </c>
      <c r="BC18" s="55" t="s">
        <v>18</v>
      </c>
      <c r="BD18" s="55" t="s">
        <v>18</v>
      </c>
      <c r="BE18" s="64" t="s">
        <v>18</v>
      </c>
      <c r="BF18" s="32"/>
      <c r="BG18" s="40"/>
      <c r="BH18" s="40"/>
      <c r="BI18" s="14">
        <f>IF(AX19=$BV$57,1,0)</f>
        <v>0</v>
      </c>
      <c r="BJ18" s="39" t="s">
        <v>18</v>
      </c>
      <c r="BK18" s="39"/>
      <c r="BL18" s="39"/>
      <c r="BM18" s="39"/>
      <c r="BN18" s="40"/>
      <c r="BO18" s="40"/>
      <c r="BP18" s="40"/>
      <c r="BQ18" s="40"/>
      <c r="BR18" s="40"/>
      <c r="BS18" s="40"/>
      <c r="BT18" s="41"/>
      <c r="BU18" s="41"/>
      <c r="BV18" s="41"/>
      <c r="BW18" s="41"/>
      <c r="BX18" s="41"/>
      <c r="BY18" s="41"/>
      <c r="BZ18" s="41"/>
      <c r="CA18" s="41"/>
      <c r="CB18" s="41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</row>
    <row r="19" spans="1:107" ht="12.75">
      <c r="A19" s="239"/>
      <c r="B19" s="458" t="s">
        <v>92</v>
      </c>
      <c r="C19" s="65">
        <v>10</v>
      </c>
      <c r="D19" s="233">
        <f>IF(I12&lt;1,1,IF(I12&gt;365,365,I12))</f>
        <v>1</v>
      </c>
      <c r="E19" s="66">
        <v>24</v>
      </c>
      <c r="F19" s="66">
        <v>50</v>
      </c>
      <c r="G19" s="464">
        <f aca="true" t="shared" si="0" ref="G19:G54">P19</f>
        <v>13.345591461005531</v>
      </c>
      <c r="H19" s="195">
        <f>(0.2*E19)^1.514</f>
        <v>10.74977151276806</v>
      </c>
      <c r="I19" s="73"/>
      <c r="J19" s="196" t="s">
        <v>18</v>
      </c>
      <c r="K19" s="196"/>
      <c r="L19" s="197">
        <f>16*(10*(E19/$H$56))^$J$22*(G19/12)*(C19/30)</f>
        <v>39.868481953405826</v>
      </c>
      <c r="M19" s="18"/>
      <c r="N19" s="124">
        <f aca="true" t="shared" si="1" ref="N19:N54">23.45*SIN(RADIANS((360/365)*(D19-81)))</f>
        <v>-23.011636727869238</v>
      </c>
      <c r="O19" s="124">
        <f aca="true" t="shared" si="2" ref="O19:O54">ACOS(-TAN(RADIANS($M$8))*TAN(RADIANS(N19)))*180/PI()</f>
        <v>100.09193595754148</v>
      </c>
      <c r="P19" s="124">
        <f>2*O19/15</f>
        <v>13.345591461005531</v>
      </c>
      <c r="R19" s="18"/>
      <c r="S19" s="18"/>
      <c r="T19" s="18"/>
      <c r="U19" s="18"/>
      <c r="V19" s="18"/>
      <c r="W19" s="276"/>
      <c r="X19" s="69"/>
      <c r="Y19" s="239"/>
      <c r="Z19" s="68" t="str">
        <f>B19</f>
        <v>J1</v>
      </c>
      <c r="AA19" s="69">
        <f aca="true" t="shared" si="3" ref="AA19:AA54">P62*-1</f>
        <v>0</v>
      </c>
      <c r="AB19" s="70">
        <f aca="true" t="shared" si="4" ref="AB19:AB54">Q62</f>
        <v>10.131518046594174</v>
      </c>
      <c r="AC19" s="244"/>
      <c r="AD19" s="244"/>
      <c r="AE19" s="244"/>
      <c r="AF19" s="244"/>
      <c r="AG19" s="244"/>
      <c r="AH19" s="244"/>
      <c r="AI19" s="244"/>
      <c r="AJ19" s="244"/>
      <c r="AK19" s="244"/>
      <c r="AL19" s="253"/>
      <c r="AM19" s="253"/>
      <c r="AN19" s="253"/>
      <c r="AT19" s="71">
        <f aca="true" t="shared" si="5" ref="AT19:AT54">F19-L19</f>
        <v>10.131518046594174</v>
      </c>
      <c r="AU19" s="71">
        <f>IF(AT19&gt;=0,AT19,0)</f>
        <v>10.131518046594174</v>
      </c>
      <c r="AV19" s="71">
        <f>IF(AT19&lt;0,AT19,0)</f>
        <v>0</v>
      </c>
      <c r="AW19" s="71">
        <f>IF(AT19&gt;0,BO13+AT19,0)</f>
        <v>10.131518046594174</v>
      </c>
      <c r="AX19" s="71">
        <f>IF(AT19&gt;0,AT19+AW54,0)</f>
        <v>115.91784972361026</v>
      </c>
      <c r="AY19" s="72">
        <f>IF(AND(BV13=0,BM19=1),$BJ$14,"")</f>
      </c>
      <c r="AZ19" s="71">
        <f>IF(BM19=0,0,IF(AND($BJ$56=0,BI19&lt;&gt;0),$AU$59,IF(AT19&lt;0,BW13+AT19,IF(AT19&gt;0,$BX$13*LN(BA19/$BX$13)))))</f>
        <v>0</v>
      </c>
      <c r="BA19" s="73">
        <f aca="true" t="shared" si="6" ref="BA19:BA54">IF(BM19=1,IF(BG19&gt;$BX$13,$BX$13,BG19),0)</f>
        <v>0</v>
      </c>
      <c r="BB19" s="73">
        <f>IF(AND($AX$10=2,BM19=1),AX19,IF(BM19=1,BA19-$BX$13,""))</f>
      </c>
      <c r="BC19" s="71">
        <f aca="true" t="shared" si="7" ref="BC19:BC54">IF(BM19=1,IF(AT19&gt;=0,L19,IF(BB19&lt;0,F19+ABS(BB19),L19)),"")</f>
      </c>
      <c r="BD19" s="71">
        <f aca="true" t="shared" si="8" ref="BD19:BD54">IF(BM19=1,L19-BC19,"")</f>
      </c>
      <c r="BE19" s="74">
        <f aca="true" t="shared" si="9" ref="BE19:BE54">IF(BM19=1,IF(BA19&lt;$BX$13,0,IF(BA19=$BX$13,AT19-BB19)),"")</f>
      </c>
      <c r="BG19" s="14">
        <f>IF(BM19=0,0,IF(BH19&lt;&gt;0,BH19,IF(AT19&lt;0,$BX$13*EXP(AZ19/$BX$13),IF(AT19&gt;0,BG13+ABS(AT19)))))</f>
        <v>0</v>
      </c>
      <c r="BH19" s="14">
        <f aca="true" t="shared" si="10" ref="BH19:BH54">IF(BK19=0,0,IF($BJ$56&lt;&gt;0,IF(AW19&gt;$BX$13,$BX$13,AW19),IF(AX19&gt;$BX$13,$BX$13,AX19)))</f>
        <v>0</v>
      </c>
      <c r="BI19" s="14">
        <f aca="true" t="shared" si="11" ref="BI19:BI54">IF(AX19=$BN$56,1,0)</f>
        <v>0</v>
      </c>
      <c r="BJ19" s="14">
        <f>IF(OR(AW19&gt;=C10,BT13=1),1,0)</f>
        <v>0</v>
      </c>
      <c r="BK19" s="14">
        <f aca="true" t="shared" si="12" ref="BK19:BK54">IF(AY19&lt;&gt;"",1,0)</f>
        <v>0</v>
      </c>
      <c r="BL19" s="14">
        <f>IF(OR(AW19&gt;=C10,BU13=1),1,0)</f>
        <v>0</v>
      </c>
      <c r="BM19" s="14">
        <f>IF($BJ$56&lt;&gt;0,IF(OR(BJ19=1,BV13=1),1,0),IF(OR(BI19=1,BV13=1),1,0))</f>
        <v>0</v>
      </c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</row>
    <row r="20" spans="1:107" ht="12.75">
      <c r="A20" s="239"/>
      <c r="B20" s="458" t="s">
        <v>93</v>
      </c>
      <c r="C20" s="65">
        <v>10</v>
      </c>
      <c r="D20" s="233">
        <f aca="true" t="shared" si="13" ref="D20:D54">IF(D19+C19&gt;365,((D19+C19)-365),D19+C19)</f>
        <v>11</v>
      </c>
      <c r="E20" s="66">
        <v>24</v>
      </c>
      <c r="F20" s="66">
        <v>100</v>
      </c>
      <c r="G20" s="464">
        <f t="shared" si="0"/>
        <v>13.272826995865897</v>
      </c>
      <c r="H20" s="195">
        <f>(0.2*E20)^1.514</f>
        <v>10.74977151276806</v>
      </c>
      <c r="I20" s="73"/>
      <c r="J20" s="196" t="s">
        <v>18</v>
      </c>
      <c r="K20" s="196"/>
      <c r="L20" s="197">
        <f aca="true" t="shared" si="14" ref="L20:L54">16*(10*(E20/$H$56))^$J$22*(G20/12)*(C20/30)</f>
        <v>39.651106142543846</v>
      </c>
      <c r="M20" s="18"/>
      <c r="N20" s="124">
        <f t="shared" si="1"/>
        <v>-21.898483015897597</v>
      </c>
      <c r="O20" s="124">
        <f t="shared" si="2"/>
        <v>99.54620246899422</v>
      </c>
      <c r="P20" s="124">
        <f aca="true" t="shared" si="15" ref="P20:P54">2*O20/15</f>
        <v>13.272826995865897</v>
      </c>
      <c r="R20" s="18"/>
      <c r="S20" s="18"/>
      <c r="T20" s="18"/>
      <c r="U20" s="18"/>
      <c r="V20" s="18"/>
      <c r="W20" s="276"/>
      <c r="X20" s="69"/>
      <c r="Y20" s="239"/>
      <c r="Z20" s="68" t="str">
        <f>B20</f>
        <v>J2</v>
      </c>
      <c r="AA20" s="69">
        <f t="shared" si="3"/>
        <v>0</v>
      </c>
      <c r="AB20" s="70">
        <f t="shared" si="4"/>
        <v>60.348893857456154</v>
      </c>
      <c r="AC20" s="244"/>
      <c r="AD20" s="244"/>
      <c r="AE20" s="244"/>
      <c r="AF20" s="244"/>
      <c r="AG20" s="244"/>
      <c r="AH20" s="244"/>
      <c r="AI20" s="244"/>
      <c r="AJ20" s="244"/>
      <c r="AK20" s="244"/>
      <c r="AL20" s="253"/>
      <c r="AM20" s="253"/>
      <c r="AN20" s="253"/>
      <c r="AT20" s="71">
        <f t="shared" si="5"/>
        <v>60.348893857456154</v>
      </c>
      <c r="AU20" s="71">
        <f aca="true" t="shared" si="16" ref="AU20:AU51">IF(AT20&gt;=0,AT20,0)</f>
        <v>60.348893857456154</v>
      </c>
      <c r="AV20" s="71">
        <f aca="true" t="shared" si="17" ref="AV20:AV51">IF(AT20&lt;0,AT20,0)</f>
        <v>0</v>
      </c>
      <c r="AW20" s="71">
        <f aca="true" t="shared" si="18" ref="AW20:AW54">IF(AT20&gt;0,AW19+AT20,0)</f>
        <v>70.48041190405033</v>
      </c>
      <c r="AX20" s="71">
        <f aca="true" t="shared" si="19" ref="AX20:AX54">IF(AT20&gt;0,AT20+AX19,0)</f>
        <v>176.2667435810664</v>
      </c>
      <c r="AY20" s="72">
        <f>IF(AND(BM19=0,BM20=1),$BJ$14,"")</f>
      </c>
      <c r="AZ20" s="71">
        <f aca="true" t="shared" si="20" ref="AZ20:AZ54">IF(BM20=0,0,IF(AND($BJ$56=0,BI20&lt;&gt;0),$AU$59,IF(AT20&lt;0,AZ19+AT20,IF(AT20&gt;0,$BX$13*LN(BA20/$BX$13)))))</f>
        <v>0</v>
      </c>
      <c r="BA20" s="73">
        <f t="shared" si="6"/>
        <v>0</v>
      </c>
      <c r="BB20" s="73">
        <f aca="true" t="shared" si="21" ref="BB20:BB54">IF(AND($AX$10=2,BM20=1,BM19=0),AX20,IF(BM20=1,BA20-BA19,""))</f>
      </c>
      <c r="BC20" s="71">
        <f t="shared" si="7"/>
      </c>
      <c r="BD20" s="71">
        <f t="shared" si="8"/>
      </c>
      <c r="BE20" s="74">
        <f t="shared" si="9"/>
      </c>
      <c r="BG20" s="14">
        <f aca="true" t="shared" si="22" ref="BG20:BG54">IF(BM20=0,0,IF(BH20&lt;&gt;0,BH20,IF(AT20&lt;0,$BX$13*EXP(AZ20/$BX$13),IF(AT20&gt;0,BG19+ABS(AT20)))))</f>
        <v>0</v>
      </c>
      <c r="BH20" s="14">
        <f t="shared" si="10"/>
        <v>0</v>
      </c>
      <c r="BI20" s="14">
        <f t="shared" si="11"/>
        <v>0</v>
      </c>
      <c r="BJ20" s="14">
        <f aca="true" t="shared" si="23" ref="BJ20:BJ54">IF(OR(AW20&gt;=$C$10,BJ19=1),1,0)</f>
        <v>0</v>
      </c>
      <c r="BK20" s="14">
        <f t="shared" si="12"/>
        <v>0</v>
      </c>
      <c r="BL20" s="14">
        <f aca="true" t="shared" si="24" ref="BL20:BL54">IF(OR(AW20&gt;=$C$10,BL19=1),1,0)</f>
        <v>0</v>
      </c>
      <c r="BM20" s="14">
        <f aca="true" t="shared" si="25" ref="BM20:BM54">IF($BJ$56&lt;&gt;0,IF(OR(BJ20=1,BM19=1),1,0),IF(OR(BI20=1,BM19=1),1,0))</f>
        <v>0</v>
      </c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</row>
    <row r="21" spans="1:107" ht="12.75">
      <c r="A21" s="239"/>
      <c r="B21" s="458" t="s">
        <v>94</v>
      </c>
      <c r="C21" s="65">
        <v>11</v>
      </c>
      <c r="D21" s="233">
        <f t="shared" si="13"/>
        <v>21</v>
      </c>
      <c r="E21" s="66">
        <v>24</v>
      </c>
      <c r="F21" s="66">
        <v>58.8</v>
      </c>
      <c r="G21" s="464">
        <f t="shared" si="0"/>
        <v>13.16024738919123</v>
      </c>
      <c r="H21" s="195">
        <f aca="true" t="shared" si="26" ref="H21:H53">(0.2*E21)^1.514</f>
        <v>10.74977151276806</v>
      </c>
      <c r="I21" s="73"/>
      <c r="J21" s="196" t="s">
        <v>18</v>
      </c>
      <c r="K21" s="196"/>
      <c r="L21" s="197">
        <f t="shared" si="14"/>
        <v>43.24626568845034</v>
      </c>
      <c r="M21" s="18"/>
      <c r="N21" s="124">
        <f t="shared" si="1"/>
        <v>-20.138014821567577</v>
      </c>
      <c r="O21" s="124">
        <f t="shared" si="2"/>
        <v>98.70185541893423</v>
      </c>
      <c r="P21" s="124">
        <f t="shared" si="15"/>
        <v>13.16024738919123</v>
      </c>
      <c r="R21" s="18"/>
      <c r="S21" s="18" t="s">
        <v>18</v>
      </c>
      <c r="T21" s="18"/>
      <c r="U21" s="18"/>
      <c r="V21" s="18"/>
      <c r="W21" s="276"/>
      <c r="X21" s="69"/>
      <c r="Y21" s="239"/>
      <c r="Z21" s="68" t="str">
        <f aca="true" t="shared" si="27" ref="Z21:Z54">B21</f>
        <v>J3</v>
      </c>
      <c r="AA21" s="69">
        <f t="shared" si="3"/>
        <v>0</v>
      </c>
      <c r="AB21" s="70">
        <f t="shared" si="4"/>
        <v>15.553734311549654</v>
      </c>
      <c r="AC21" s="244"/>
      <c r="AD21" s="244"/>
      <c r="AE21" s="244"/>
      <c r="AF21" s="244"/>
      <c r="AG21" s="244"/>
      <c r="AH21" s="244"/>
      <c r="AI21" s="244"/>
      <c r="AJ21" s="244"/>
      <c r="AK21" s="244"/>
      <c r="AL21" s="253"/>
      <c r="AM21" s="253"/>
      <c r="AN21" s="253"/>
      <c r="AT21" s="71">
        <f t="shared" si="5"/>
        <v>15.553734311549654</v>
      </c>
      <c r="AU21" s="71">
        <f t="shared" si="16"/>
        <v>15.553734311549654</v>
      </c>
      <c r="AV21" s="71">
        <f t="shared" si="17"/>
        <v>0</v>
      </c>
      <c r="AW21" s="71">
        <f t="shared" si="18"/>
        <v>86.03414621559997</v>
      </c>
      <c r="AX21" s="71">
        <f t="shared" si="19"/>
        <v>191.82047789261605</v>
      </c>
      <c r="AY21" s="72">
        <f aca="true" t="shared" si="28" ref="AY21:AY52">IF(AND(BM20=0,BM21=1),$BJ$14,"")</f>
      </c>
      <c r="AZ21" s="71">
        <f t="shared" si="20"/>
        <v>0</v>
      </c>
      <c r="BA21" s="73">
        <f t="shared" si="6"/>
        <v>0</v>
      </c>
      <c r="BB21" s="73">
        <f t="shared" si="21"/>
      </c>
      <c r="BC21" s="71">
        <f t="shared" si="7"/>
      </c>
      <c r="BD21" s="71">
        <f t="shared" si="8"/>
      </c>
      <c r="BE21" s="74">
        <f t="shared" si="9"/>
      </c>
      <c r="BG21" s="14">
        <f t="shared" si="22"/>
        <v>0</v>
      </c>
      <c r="BH21" s="14">
        <f t="shared" si="10"/>
        <v>0</v>
      </c>
      <c r="BI21" s="14">
        <f t="shared" si="11"/>
        <v>0</v>
      </c>
      <c r="BJ21" s="14">
        <f t="shared" si="23"/>
        <v>0</v>
      </c>
      <c r="BK21" s="14">
        <f t="shared" si="12"/>
        <v>0</v>
      </c>
      <c r="BL21" s="14">
        <f t="shared" si="24"/>
        <v>0</v>
      </c>
      <c r="BM21" s="14">
        <f t="shared" si="25"/>
        <v>0</v>
      </c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</row>
    <row r="22" spans="1:107" ht="15">
      <c r="A22" s="239"/>
      <c r="B22" s="458" t="s">
        <v>95</v>
      </c>
      <c r="C22" s="65">
        <v>10</v>
      </c>
      <c r="D22" s="233">
        <f t="shared" si="13"/>
        <v>32</v>
      </c>
      <c r="E22" s="66">
        <v>24.6</v>
      </c>
      <c r="F22" s="66">
        <v>54.5</v>
      </c>
      <c r="G22" s="464">
        <f t="shared" si="0"/>
        <v>12.997611144945155</v>
      </c>
      <c r="H22" s="195">
        <f t="shared" si="26"/>
        <v>11.159254070779141</v>
      </c>
      <c r="I22" s="462" t="s">
        <v>62</v>
      </c>
      <c r="J22" s="463">
        <f>0.49+(0.018*$H$56)-(7.7*(10^-5)*($H$56^2))+(6.75*(10^-7)*($H$56^3))</f>
        <v>2.386772424699741</v>
      </c>
      <c r="K22" s="196"/>
      <c r="L22" s="197">
        <f t="shared" si="14"/>
        <v>41.18611612932821</v>
      </c>
      <c r="M22" s="18"/>
      <c r="N22" s="124">
        <f t="shared" si="1"/>
        <v>-17.51649545648422</v>
      </c>
      <c r="O22" s="124">
        <f t="shared" si="2"/>
        <v>97.48208358708867</v>
      </c>
      <c r="P22" s="124">
        <f t="shared" si="15"/>
        <v>12.997611144945155</v>
      </c>
      <c r="R22" s="18"/>
      <c r="S22" s="18"/>
      <c r="T22" s="18"/>
      <c r="U22" s="18"/>
      <c r="V22" s="18"/>
      <c r="W22" s="276"/>
      <c r="X22" s="69"/>
      <c r="Y22" s="239"/>
      <c r="Z22" s="68" t="str">
        <f t="shared" si="27"/>
        <v>F1</v>
      </c>
      <c r="AA22" s="69">
        <f t="shared" si="3"/>
        <v>0</v>
      </c>
      <c r="AB22" s="70">
        <f t="shared" si="4"/>
        <v>13.313883870671788</v>
      </c>
      <c r="AC22" s="244"/>
      <c r="AD22" s="244"/>
      <c r="AE22" s="244"/>
      <c r="AF22" s="244"/>
      <c r="AG22" s="244"/>
      <c r="AH22" s="244"/>
      <c r="AI22" s="244"/>
      <c r="AJ22" s="244"/>
      <c r="AK22" s="244"/>
      <c r="AL22" s="253"/>
      <c r="AM22" s="253"/>
      <c r="AN22" s="253"/>
      <c r="AT22" s="71">
        <f t="shared" si="5"/>
        <v>13.313883870671788</v>
      </c>
      <c r="AU22" s="71">
        <f t="shared" si="16"/>
        <v>13.313883870671788</v>
      </c>
      <c r="AV22" s="71">
        <f t="shared" si="17"/>
        <v>0</v>
      </c>
      <c r="AW22" s="71">
        <f t="shared" si="18"/>
        <v>99.34803008627176</v>
      </c>
      <c r="AX22" s="71">
        <f t="shared" si="19"/>
        <v>205.13436176328784</v>
      </c>
      <c r="AY22" s="72">
        <f t="shared" si="28"/>
      </c>
      <c r="AZ22" s="71">
        <f t="shared" si="20"/>
        <v>0</v>
      </c>
      <c r="BA22" s="73">
        <f t="shared" si="6"/>
        <v>0</v>
      </c>
      <c r="BB22" s="73">
        <f t="shared" si="21"/>
      </c>
      <c r="BC22" s="71">
        <f t="shared" si="7"/>
      </c>
      <c r="BD22" s="71">
        <f t="shared" si="8"/>
      </c>
      <c r="BE22" s="74">
        <f t="shared" si="9"/>
      </c>
      <c r="BG22" s="14">
        <f t="shared" si="22"/>
        <v>0</v>
      </c>
      <c r="BH22" s="14">
        <f t="shared" si="10"/>
        <v>0</v>
      </c>
      <c r="BI22" s="14">
        <f t="shared" si="11"/>
        <v>0</v>
      </c>
      <c r="BJ22" s="14">
        <f t="shared" si="23"/>
        <v>0</v>
      </c>
      <c r="BK22" s="14">
        <f t="shared" si="12"/>
        <v>0</v>
      </c>
      <c r="BL22" s="14">
        <f t="shared" si="24"/>
        <v>0</v>
      </c>
      <c r="BM22" s="14">
        <f t="shared" si="25"/>
        <v>0</v>
      </c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</row>
    <row r="23" spans="1:107" ht="15">
      <c r="A23" s="239"/>
      <c r="B23" s="458" t="s">
        <v>96</v>
      </c>
      <c r="C23" s="65">
        <v>10</v>
      </c>
      <c r="D23" s="233">
        <f t="shared" si="13"/>
        <v>42</v>
      </c>
      <c r="E23" s="66">
        <v>25</v>
      </c>
      <c r="F23" s="66">
        <v>100</v>
      </c>
      <c r="G23" s="464">
        <f t="shared" si="0"/>
        <v>12.821820721589122</v>
      </c>
      <c r="H23" s="195">
        <f t="shared" si="26"/>
        <v>11.43511631684536</v>
      </c>
      <c r="I23" s="462" t="s">
        <v>60</v>
      </c>
      <c r="J23" s="463">
        <f>H56</f>
        <v>108.02380158220154</v>
      </c>
      <c r="K23" s="196"/>
      <c r="L23" s="197">
        <f t="shared" si="14"/>
        <v>42.22368237307292</v>
      </c>
      <c r="M23" s="18"/>
      <c r="N23" s="124">
        <f t="shared" si="1"/>
        <v>-14.586996250938343</v>
      </c>
      <c r="O23" s="124">
        <f t="shared" si="2"/>
        <v>96.16365541191841</v>
      </c>
      <c r="P23" s="124">
        <f t="shared" si="15"/>
        <v>12.821820721589122</v>
      </c>
      <c r="R23" s="18"/>
      <c r="S23" s="18"/>
      <c r="T23" s="18"/>
      <c r="U23" s="18"/>
      <c r="V23" s="18"/>
      <c r="W23" s="276"/>
      <c r="X23" s="69"/>
      <c r="Y23" s="239"/>
      <c r="Z23" s="68" t="str">
        <f t="shared" si="27"/>
        <v>F2</v>
      </c>
      <c r="AA23" s="69">
        <f t="shared" si="3"/>
        <v>0</v>
      </c>
      <c r="AB23" s="70">
        <f t="shared" si="4"/>
        <v>57.77631762692708</v>
      </c>
      <c r="AC23" s="244"/>
      <c r="AD23" s="244"/>
      <c r="AE23" s="244"/>
      <c r="AF23" s="244"/>
      <c r="AG23" s="244"/>
      <c r="AH23" s="244"/>
      <c r="AI23" s="244"/>
      <c r="AJ23" s="244"/>
      <c r="AK23" s="244"/>
      <c r="AL23" s="253"/>
      <c r="AM23" s="253"/>
      <c r="AN23" s="253"/>
      <c r="AT23" s="71">
        <f t="shared" si="5"/>
        <v>57.77631762692708</v>
      </c>
      <c r="AU23" s="71">
        <f t="shared" si="16"/>
        <v>57.77631762692708</v>
      </c>
      <c r="AV23" s="71">
        <f t="shared" si="17"/>
        <v>0</v>
      </c>
      <c r="AW23" s="71">
        <f t="shared" si="18"/>
        <v>157.12434771319886</v>
      </c>
      <c r="AX23" s="71">
        <f t="shared" si="19"/>
        <v>262.9106793902149</v>
      </c>
      <c r="AY23" s="72" t="str">
        <f t="shared" si="28"/>
        <v>è</v>
      </c>
      <c r="AZ23" s="71">
        <f t="shared" si="20"/>
        <v>0</v>
      </c>
      <c r="BA23" s="73">
        <f t="shared" si="6"/>
        <v>125</v>
      </c>
      <c r="BB23" s="73">
        <f t="shared" si="21"/>
        <v>125</v>
      </c>
      <c r="BC23" s="71">
        <f t="shared" si="7"/>
        <v>42.22368237307292</v>
      </c>
      <c r="BD23" s="71">
        <f t="shared" si="8"/>
        <v>0</v>
      </c>
      <c r="BE23" s="74">
        <f t="shared" si="9"/>
        <v>-67.22368237307292</v>
      </c>
      <c r="BG23" s="14">
        <f t="shared" si="22"/>
        <v>125</v>
      </c>
      <c r="BH23" s="14">
        <f t="shared" si="10"/>
        <v>125</v>
      </c>
      <c r="BI23" s="14">
        <f t="shared" si="11"/>
        <v>1</v>
      </c>
      <c r="BJ23" s="14">
        <f t="shared" si="23"/>
        <v>1</v>
      </c>
      <c r="BK23" s="14">
        <f t="shared" si="12"/>
        <v>1</v>
      </c>
      <c r="BL23" s="14">
        <f t="shared" si="24"/>
        <v>1</v>
      </c>
      <c r="BM23" s="14">
        <f t="shared" si="25"/>
        <v>1</v>
      </c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</row>
    <row r="24" spans="1:107" ht="12.75">
      <c r="A24" s="239"/>
      <c r="B24" s="458" t="s">
        <v>97</v>
      </c>
      <c r="C24" s="65">
        <v>8</v>
      </c>
      <c r="D24" s="233">
        <f t="shared" si="13"/>
        <v>52</v>
      </c>
      <c r="E24" s="66">
        <v>24</v>
      </c>
      <c r="F24" s="66">
        <v>29.3</v>
      </c>
      <c r="G24" s="464">
        <f t="shared" si="0"/>
        <v>12.626292296599258</v>
      </c>
      <c r="H24" s="195">
        <f t="shared" si="26"/>
        <v>10.74977151276806</v>
      </c>
      <c r="I24" s="73"/>
      <c r="J24" s="196" t="s">
        <v>18</v>
      </c>
      <c r="K24" s="196"/>
      <c r="L24" s="197">
        <f t="shared" si="14"/>
        <v>30.175724053070404</v>
      </c>
      <c r="M24" s="18"/>
      <c r="N24" s="124">
        <f t="shared" si="1"/>
        <v>-11.226308550715238</v>
      </c>
      <c r="O24" s="124">
        <f t="shared" si="2"/>
        <v>94.69719222449444</v>
      </c>
      <c r="P24" s="124">
        <f t="shared" si="15"/>
        <v>12.626292296599258</v>
      </c>
      <c r="R24" s="18"/>
      <c r="S24" s="18"/>
      <c r="T24" s="18"/>
      <c r="U24" s="18"/>
      <c r="V24" s="18"/>
      <c r="W24" s="276"/>
      <c r="X24" s="69"/>
      <c r="Y24" s="239"/>
      <c r="Z24" s="68" t="str">
        <f t="shared" si="27"/>
        <v>F3</v>
      </c>
      <c r="AA24" s="69">
        <f t="shared" si="3"/>
        <v>-0.00306041941027857</v>
      </c>
      <c r="AB24" s="70">
        <f t="shared" si="4"/>
        <v>0</v>
      </c>
      <c r="AC24" s="244"/>
      <c r="AD24" s="244"/>
      <c r="AE24" s="244"/>
      <c r="AF24" s="244"/>
      <c r="AG24" s="244"/>
      <c r="AH24" s="244"/>
      <c r="AI24" s="244"/>
      <c r="AJ24" s="244"/>
      <c r="AK24" s="244"/>
      <c r="AL24" s="253"/>
      <c r="AM24" s="253"/>
      <c r="AN24" s="253"/>
      <c r="AT24" s="71">
        <f t="shared" si="5"/>
        <v>-0.8757240530704031</v>
      </c>
      <c r="AU24" s="71">
        <f t="shared" si="16"/>
        <v>0</v>
      </c>
      <c r="AV24" s="71">
        <f t="shared" si="17"/>
        <v>-0.8757240530704031</v>
      </c>
      <c r="AW24" s="71">
        <f t="shared" si="18"/>
        <v>0</v>
      </c>
      <c r="AX24" s="71">
        <f t="shared" si="19"/>
        <v>0</v>
      </c>
      <c r="AY24" s="72">
        <f t="shared" si="28"/>
      </c>
      <c r="AZ24" s="71">
        <f t="shared" si="20"/>
        <v>-0.8757240530704031</v>
      </c>
      <c r="BA24" s="73">
        <f t="shared" si="6"/>
        <v>124.12733636633988</v>
      </c>
      <c r="BB24" s="73">
        <f t="shared" si="21"/>
        <v>-0.8726636336601246</v>
      </c>
      <c r="BC24" s="71">
        <f t="shared" si="7"/>
        <v>30.172663633660125</v>
      </c>
      <c r="BD24" s="71">
        <f t="shared" si="8"/>
        <v>0.00306041941027857</v>
      </c>
      <c r="BE24" s="74">
        <f t="shared" si="9"/>
        <v>0</v>
      </c>
      <c r="BG24" s="14">
        <f t="shared" si="22"/>
        <v>124.12733636633988</v>
      </c>
      <c r="BH24" s="14">
        <f t="shared" si="10"/>
        <v>0</v>
      </c>
      <c r="BI24" s="14">
        <f t="shared" si="11"/>
        <v>0</v>
      </c>
      <c r="BJ24" s="14">
        <f t="shared" si="23"/>
        <v>1</v>
      </c>
      <c r="BK24" s="14">
        <f t="shared" si="12"/>
        <v>0</v>
      </c>
      <c r="BL24" s="14">
        <f t="shared" si="24"/>
        <v>1</v>
      </c>
      <c r="BM24" s="14">
        <f t="shared" si="25"/>
        <v>1</v>
      </c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</row>
    <row r="25" spans="1:107" ht="12.75">
      <c r="A25" s="239"/>
      <c r="B25" s="458" t="s">
        <v>98</v>
      </c>
      <c r="C25" s="65">
        <v>10</v>
      </c>
      <c r="D25" s="233">
        <f t="shared" si="13"/>
        <v>60</v>
      </c>
      <c r="E25" s="66">
        <v>24</v>
      </c>
      <c r="F25" s="67">
        <v>73.4</v>
      </c>
      <c r="G25" s="464">
        <f t="shared" si="0"/>
        <v>12.459731738291898</v>
      </c>
      <c r="H25" s="195">
        <f t="shared" si="26"/>
        <v>10.74977151276806</v>
      </c>
      <c r="I25" s="73"/>
      <c r="J25" s="196" t="s">
        <v>18</v>
      </c>
      <c r="K25" s="196"/>
      <c r="L25" s="197">
        <f t="shared" si="14"/>
        <v>37.22207377648442</v>
      </c>
      <c r="M25" s="18"/>
      <c r="N25" s="124">
        <f t="shared" si="1"/>
        <v>-8.293705065035914</v>
      </c>
      <c r="O25" s="124">
        <f t="shared" si="2"/>
        <v>93.44798803718923</v>
      </c>
      <c r="P25" s="124">
        <f t="shared" si="15"/>
        <v>12.459731738291898</v>
      </c>
      <c r="R25" s="18"/>
      <c r="S25" s="18"/>
      <c r="T25" s="18"/>
      <c r="U25" s="18"/>
      <c r="V25" s="18"/>
      <c r="W25" s="276"/>
      <c r="X25" s="69"/>
      <c r="Y25" s="239"/>
      <c r="Z25" s="68" t="str">
        <f t="shared" si="27"/>
        <v>M1</v>
      </c>
      <c r="AA25" s="69">
        <f t="shared" si="3"/>
        <v>0</v>
      </c>
      <c r="AB25" s="70">
        <f t="shared" si="4"/>
        <v>35.30526258985546</v>
      </c>
      <c r="AC25" s="244"/>
      <c r="AD25" s="244"/>
      <c r="AE25" s="244"/>
      <c r="AF25" s="244"/>
      <c r="AG25" s="244"/>
      <c r="AH25" s="244"/>
      <c r="AI25" s="244"/>
      <c r="AJ25" s="244"/>
      <c r="AK25" s="244"/>
      <c r="AL25" s="253"/>
      <c r="AM25" s="253"/>
      <c r="AN25" s="253"/>
      <c r="AT25" s="71">
        <f t="shared" si="5"/>
        <v>36.177926223515584</v>
      </c>
      <c r="AU25" s="71">
        <f t="shared" si="16"/>
        <v>36.177926223515584</v>
      </c>
      <c r="AV25" s="71">
        <f t="shared" si="17"/>
        <v>0</v>
      </c>
      <c r="AW25" s="71">
        <f t="shared" si="18"/>
        <v>36.177926223515584</v>
      </c>
      <c r="AX25" s="71">
        <f t="shared" si="19"/>
        <v>36.177926223515584</v>
      </c>
      <c r="AY25" s="72">
        <f t="shared" si="28"/>
      </c>
      <c r="AZ25" s="71">
        <f t="shared" si="20"/>
        <v>0</v>
      </c>
      <c r="BA25" s="73">
        <f t="shared" si="6"/>
        <v>125</v>
      </c>
      <c r="BB25" s="73">
        <f t="shared" si="21"/>
        <v>0.8726636336601246</v>
      </c>
      <c r="BC25" s="71">
        <f t="shared" si="7"/>
        <v>37.22207377648442</v>
      </c>
      <c r="BD25" s="71">
        <f t="shared" si="8"/>
        <v>0</v>
      </c>
      <c r="BE25" s="74">
        <f t="shared" si="9"/>
        <v>35.30526258985546</v>
      </c>
      <c r="BG25" s="14">
        <f t="shared" si="22"/>
        <v>160.30526258985546</v>
      </c>
      <c r="BH25" s="14">
        <f t="shared" si="10"/>
        <v>0</v>
      </c>
      <c r="BI25" s="14">
        <f t="shared" si="11"/>
        <v>0</v>
      </c>
      <c r="BJ25" s="14">
        <f t="shared" si="23"/>
        <v>1</v>
      </c>
      <c r="BK25" s="14">
        <f t="shared" si="12"/>
        <v>0</v>
      </c>
      <c r="BL25" s="14">
        <f t="shared" si="24"/>
        <v>1</v>
      </c>
      <c r="BM25" s="14">
        <f t="shared" si="25"/>
        <v>1</v>
      </c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</row>
    <row r="26" spans="1:107" ht="12.75">
      <c r="A26" s="239"/>
      <c r="B26" s="458" t="s">
        <v>99</v>
      </c>
      <c r="C26" s="65">
        <v>10</v>
      </c>
      <c r="D26" s="233">
        <f t="shared" si="13"/>
        <v>70</v>
      </c>
      <c r="E26" s="66">
        <v>23.5</v>
      </c>
      <c r="F26" s="67">
        <v>41.2</v>
      </c>
      <c r="G26" s="464">
        <f t="shared" si="0"/>
        <v>12.2433343359965</v>
      </c>
      <c r="H26" s="195">
        <f t="shared" si="26"/>
        <v>10.412527392231876</v>
      </c>
      <c r="I26" s="73"/>
      <c r="J26" s="196" t="s">
        <v>18</v>
      </c>
      <c r="K26" s="196"/>
      <c r="L26" s="197">
        <f t="shared" si="14"/>
        <v>34.78311053896016</v>
      </c>
      <c r="M26" s="18"/>
      <c r="N26" s="124">
        <f t="shared" si="1"/>
        <v>-4.413916345824076</v>
      </c>
      <c r="O26" s="124">
        <f t="shared" si="2"/>
        <v>91.82500751997375</v>
      </c>
      <c r="P26" s="124">
        <f t="shared" si="15"/>
        <v>12.2433343359965</v>
      </c>
      <c r="R26" s="18"/>
      <c r="S26" s="18"/>
      <c r="T26" s="18"/>
      <c r="U26" s="18"/>
      <c r="V26" s="18"/>
      <c r="W26" s="276"/>
      <c r="X26" s="69"/>
      <c r="Y26" s="239"/>
      <c r="Z26" s="68" t="str">
        <f t="shared" si="27"/>
        <v>M2</v>
      </c>
      <c r="AA26" s="69">
        <f t="shared" si="3"/>
        <v>0</v>
      </c>
      <c r="AB26" s="70">
        <f t="shared" si="4"/>
        <v>6.416889461039844</v>
      </c>
      <c r="AC26" s="244"/>
      <c r="AD26" s="244"/>
      <c r="AE26" s="244"/>
      <c r="AF26" s="244"/>
      <c r="AG26" s="244"/>
      <c r="AH26" s="244"/>
      <c r="AI26" s="244"/>
      <c r="AJ26" s="244"/>
      <c r="AK26" s="244"/>
      <c r="AL26" s="253"/>
      <c r="AM26" s="253"/>
      <c r="AN26" s="253"/>
      <c r="AT26" s="71">
        <f t="shared" si="5"/>
        <v>6.416889461039844</v>
      </c>
      <c r="AU26" s="71">
        <f t="shared" si="16"/>
        <v>6.416889461039844</v>
      </c>
      <c r="AV26" s="71">
        <f t="shared" si="17"/>
        <v>0</v>
      </c>
      <c r="AW26" s="71">
        <f t="shared" si="18"/>
        <v>42.59481568455543</v>
      </c>
      <c r="AX26" s="71">
        <f t="shared" si="19"/>
        <v>42.59481568455543</v>
      </c>
      <c r="AY26" s="72">
        <f t="shared" si="28"/>
      </c>
      <c r="AZ26" s="71">
        <f t="shared" si="20"/>
        <v>0</v>
      </c>
      <c r="BA26" s="73">
        <f t="shared" si="6"/>
        <v>125</v>
      </c>
      <c r="BB26" s="73">
        <f t="shared" si="21"/>
        <v>0</v>
      </c>
      <c r="BC26" s="71">
        <f t="shared" si="7"/>
        <v>34.78311053896016</v>
      </c>
      <c r="BD26" s="71">
        <f t="shared" si="8"/>
        <v>0</v>
      </c>
      <c r="BE26" s="74">
        <f t="shared" si="9"/>
        <v>6.416889461039844</v>
      </c>
      <c r="BG26" s="14">
        <f t="shared" si="22"/>
        <v>166.72215205089532</v>
      </c>
      <c r="BH26" s="14">
        <f t="shared" si="10"/>
        <v>0</v>
      </c>
      <c r="BI26" s="14">
        <f t="shared" si="11"/>
        <v>0</v>
      </c>
      <c r="BJ26" s="14">
        <f t="shared" si="23"/>
        <v>1</v>
      </c>
      <c r="BK26" s="14">
        <f t="shared" si="12"/>
        <v>0</v>
      </c>
      <c r="BL26" s="14">
        <f t="shared" si="24"/>
        <v>1</v>
      </c>
      <c r="BM26" s="14">
        <f t="shared" si="25"/>
        <v>1</v>
      </c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</row>
    <row r="27" spans="1:107" ht="12.75">
      <c r="A27" s="239"/>
      <c r="B27" s="458" t="s">
        <v>100</v>
      </c>
      <c r="C27" s="65">
        <v>11</v>
      </c>
      <c r="D27" s="233">
        <f t="shared" si="13"/>
        <v>80</v>
      </c>
      <c r="E27" s="66">
        <v>22</v>
      </c>
      <c r="F27" s="67">
        <v>28</v>
      </c>
      <c r="G27" s="464">
        <f t="shared" si="0"/>
        <v>12.02220555947518</v>
      </c>
      <c r="H27" s="195">
        <f t="shared" si="26"/>
        <v>9.422960100602015</v>
      </c>
      <c r="I27" s="73"/>
      <c r="J27" s="196" t="s">
        <v>18</v>
      </c>
      <c r="K27" s="196"/>
      <c r="L27" s="197">
        <f t="shared" si="14"/>
        <v>32.09785516907879</v>
      </c>
      <c r="M27" s="18"/>
      <c r="N27" s="124">
        <f t="shared" si="1"/>
        <v>-0.40365320185432335</v>
      </c>
      <c r="O27" s="124">
        <f t="shared" si="2"/>
        <v>90.16654169606386</v>
      </c>
      <c r="P27" s="124">
        <f t="shared" si="15"/>
        <v>12.02220555947518</v>
      </c>
      <c r="R27" s="18"/>
      <c r="S27" s="18"/>
      <c r="T27" s="18"/>
      <c r="U27" s="18"/>
      <c r="V27" s="18"/>
      <c r="W27" s="276"/>
      <c r="X27" s="69"/>
      <c r="Y27" s="239"/>
      <c r="Z27" s="68" t="str">
        <f t="shared" si="27"/>
        <v>M3</v>
      </c>
      <c r="AA27" s="69">
        <f t="shared" si="3"/>
        <v>-0.06644164021562204</v>
      </c>
      <c r="AB27" s="70">
        <f t="shared" si="4"/>
        <v>0</v>
      </c>
      <c r="AC27" s="244"/>
      <c r="AD27" s="244"/>
      <c r="AE27" s="244"/>
      <c r="AF27" s="244"/>
      <c r="AG27" s="244"/>
      <c r="AH27" s="244"/>
      <c r="AI27" s="244"/>
      <c r="AJ27" s="244"/>
      <c r="AK27" s="244"/>
      <c r="AL27" s="253"/>
      <c r="AM27" s="253"/>
      <c r="AN27" s="253"/>
      <c r="AT27" s="71">
        <f t="shared" si="5"/>
        <v>-4.097855169078791</v>
      </c>
      <c r="AU27" s="71">
        <f t="shared" si="16"/>
        <v>0</v>
      </c>
      <c r="AV27" s="71">
        <f t="shared" si="17"/>
        <v>-4.097855169078791</v>
      </c>
      <c r="AW27" s="71">
        <f t="shared" si="18"/>
        <v>0</v>
      </c>
      <c r="AX27" s="71">
        <f t="shared" si="19"/>
        <v>0</v>
      </c>
      <c r="AY27" s="72">
        <f t="shared" si="28"/>
      </c>
      <c r="AZ27" s="71">
        <f t="shared" si="20"/>
        <v>-4.097855169078791</v>
      </c>
      <c r="BA27" s="73">
        <f t="shared" si="6"/>
        <v>120.96858647113683</v>
      </c>
      <c r="BB27" s="73">
        <f t="shared" si="21"/>
        <v>-4.031413528863169</v>
      </c>
      <c r="BC27" s="71">
        <f t="shared" si="7"/>
        <v>32.03141352886317</v>
      </c>
      <c r="BD27" s="71">
        <f t="shared" si="8"/>
        <v>0.06644164021562204</v>
      </c>
      <c r="BE27" s="74">
        <f t="shared" si="9"/>
        <v>0</v>
      </c>
      <c r="BG27" s="14">
        <f t="shared" si="22"/>
        <v>120.96858647113683</v>
      </c>
      <c r="BH27" s="14">
        <f t="shared" si="10"/>
        <v>0</v>
      </c>
      <c r="BI27" s="14">
        <f t="shared" si="11"/>
        <v>0</v>
      </c>
      <c r="BJ27" s="14">
        <f t="shared" si="23"/>
        <v>1</v>
      </c>
      <c r="BK27" s="14">
        <f t="shared" si="12"/>
        <v>0</v>
      </c>
      <c r="BL27" s="14">
        <f t="shared" si="24"/>
        <v>1</v>
      </c>
      <c r="BM27" s="14">
        <f t="shared" si="25"/>
        <v>1</v>
      </c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</row>
    <row r="28" spans="1:107" ht="12.75">
      <c r="A28" s="239"/>
      <c r="B28" s="458" t="s">
        <v>101</v>
      </c>
      <c r="C28" s="65">
        <v>10</v>
      </c>
      <c r="D28" s="233">
        <f t="shared" si="13"/>
        <v>91</v>
      </c>
      <c r="E28" s="66">
        <v>21.8</v>
      </c>
      <c r="F28" s="66">
        <v>33.4</v>
      </c>
      <c r="G28" s="464">
        <f t="shared" si="0"/>
        <v>11.77863882281631</v>
      </c>
      <c r="H28" s="195">
        <f t="shared" si="26"/>
        <v>9.29356936488154</v>
      </c>
      <c r="I28" s="73"/>
      <c r="J28" s="196" t="s">
        <v>18</v>
      </c>
      <c r="K28" s="196"/>
      <c r="L28" s="197">
        <f t="shared" si="14"/>
        <v>27.97228195299317</v>
      </c>
      <c r="M28" s="18"/>
      <c r="N28" s="124">
        <f t="shared" si="1"/>
        <v>4.016824231055649</v>
      </c>
      <c r="O28" s="124">
        <f t="shared" si="2"/>
        <v>88.33979117112233</v>
      </c>
      <c r="P28" s="124">
        <f t="shared" si="15"/>
        <v>11.77863882281631</v>
      </c>
      <c r="R28" s="18"/>
      <c r="S28" s="18"/>
      <c r="T28" s="18"/>
      <c r="U28" s="18"/>
      <c r="V28" s="18"/>
      <c r="W28" s="276"/>
      <c r="X28" s="69"/>
      <c r="Y28" s="239"/>
      <c r="Z28" s="68" t="str">
        <f t="shared" si="27"/>
        <v>A1</v>
      </c>
      <c r="AA28" s="69">
        <f t="shared" si="3"/>
        <v>0</v>
      </c>
      <c r="AB28" s="70">
        <f t="shared" si="4"/>
        <v>1.3963045181436584</v>
      </c>
      <c r="AC28" s="244"/>
      <c r="AD28" s="244"/>
      <c r="AE28" s="244"/>
      <c r="AF28" s="244"/>
      <c r="AG28" s="244"/>
      <c r="AH28" s="244"/>
      <c r="AI28" s="244"/>
      <c r="AJ28" s="244"/>
      <c r="AK28" s="244"/>
      <c r="AL28" s="253"/>
      <c r="AM28" s="253"/>
      <c r="AN28" s="253"/>
      <c r="AT28" s="71">
        <f t="shared" si="5"/>
        <v>5.427718047006827</v>
      </c>
      <c r="AU28" s="71">
        <f t="shared" si="16"/>
        <v>5.427718047006827</v>
      </c>
      <c r="AV28" s="71">
        <f t="shared" si="17"/>
        <v>0</v>
      </c>
      <c r="AW28" s="71">
        <f t="shared" si="18"/>
        <v>5.427718047006827</v>
      </c>
      <c r="AX28" s="71">
        <f t="shared" si="19"/>
        <v>5.427718047006827</v>
      </c>
      <c r="AY28" s="72">
        <f t="shared" si="28"/>
      </c>
      <c r="AZ28" s="71">
        <f t="shared" si="20"/>
        <v>0</v>
      </c>
      <c r="BA28" s="73">
        <f t="shared" si="6"/>
        <v>125</v>
      </c>
      <c r="BB28" s="73">
        <f t="shared" si="21"/>
        <v>4.031413528863169</v>
      </c>
      <c r="BC28" s="71">
        <f t="shared" si="7"/>
        <v>27.97228195299317</v>
      </c>
      <c r="BD28" s="71">
        <f t="shared" si="8"/>
        <v>0</v>
      </c>
      <c r="BE28" s="74">
        <f t="shared" si="9"/>
        <v>1.3963045181436584</v>
      </c>
      <c r="BG28" s="14">
        <f t="shared" si="22"/>
        <v>126.39630451814367</v>
      </c>
      <c r="BH28" s="14">
        <f t="shared" si="10"/>
        <v>0</v>
      </c>
      <c r="BI28" s="14">
        <f t="shared" si="11"/>
        <v>0</v>
      </c>
      <c r="BJ28" s="14">
        <f t="shared" si="23"/>
        <v>1</v>
      </c>
      <c r="BK28" s="14">
        <f t="shared" si="12"/>
        <v>0</v>
      </c>
      <c r="BL28" s="14">
        <f t="shared" si="24"/>
        <v>1</v>
      </c>
      <c r="BM28" s="14">
        <f t="shared" si="25"/>
        <v>1</v>
      </c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</row>
    <row r="29" spans="1:107" ht="12.75">
      <c r="A29" s="239"/>
      <c r="B29" s="458" t="s">
        <v>102</v>
      </c>
      <c r="C29" s="65">
        <v>10</v>
      </c>
      <c r="D29" s="233">
        <f t="shared" si="13"/>
        <v>101</v>
      </c>
      <c r="E29" s="66">
        <v>21</v>
      </c>
      <c r="F29" s="66">
        <v>21.9</v>
      </c>
      <c r="G29" s="464">
        <f t="shared" si="0"/>
        <v>11.561565257107253</v>
      </c>
      <c r="H29" s="195">
        <f t="shared" si="26"/>
        <v>8.782121184958326</v>
      </c>
      <c r="I29" s="73"/>
      <c r="J29" s="196" t="s">
        <v>18</v>
      </c>
      <c r="K29" s="196"/>
      <c r="L29" s="197">
        <f t="shared" si="14"/>
        <v>25.11278789496751</v>
      </c>
      <c r="M29" s="18"/>
      <c r="N29" s="124">
        <f t="shared" si="1"/>
        <v>7.9149119954819565</v>
      </c>
      <c r="O29" s="124">
        <f t="shared" si="2"/>
        <v>86.7117394283044</v>
      </c>
      <c r="P29" s="124">
        <f t="shared" si="15"/>
        <v>11.561565257107253</v>
      </c>
      <c r="R29" s="18"/>
      <c r="S29" s="18"/>
      <c r="T29" s="18"/>
      <c r="U29" s="18"/>
      <c r="V29" s="18"/>
      <c r="W29" s="276"/>
      <c r="X29" s="69"/>
      <c r="Y29" s="239"/>
      <c r="Z29" s="68" t="str">
        <f t="shared" si="27"/>
        <v>A2</v>
      </c>
      <c r="AA29" s="69">
        <f t="shared" si="3"/>
        <v>-0.040936553094176986</v>
      </c>
      <c r="AB29" s="70">
        <f t="shared" si="4"/>
        <v>0</v>
      </c>
      <c r="AC29" s="244"/>
      <c r="AD29" s="244"/>
      <c r="AE29" s="244"/>
      <c r="AF29" s="244"/>
      <c r="AG29" s="244"/>
      <c r="AH29" s="244"/>
      <c r="AI29" s="244"/>
      <c r="AJ29" s="244"/>
      <c r="AK29" s="244"/>
      <c r="AL29" s="253"/>
      <c r="AM29" s="253"/>
      <c r="AN29" s="253"/>
      <c r="AT29" s="71">
        <f t="shared" si="5"/>
        <v>-3.212787894967512</v>
      </c>
      <c r="AU29" s="71">
        <f t="shared" si="16"/>
        <v>0</v>
      </c>
      <c r="AV29" s="71">
        <f t="shared" si="17"/>
        <v>-3.212787894967512</v>
      </c>
      <c r="AW29" s="71">
        <f t="shared" si="18"/>
        <v>0</v>
      </c>
      <c r="AX29" s="71">
        <f t="shared" si="19"/>
        <v>0</v>
      </c>
      <c r="AY29" s="72">
        <f t="shared" si="28"/>
      </c>
      <c r="AZ29" s="71">
        <f t="shared" si="20"/>
        <v>-3.212787894967512</v>
      </c>
      <c r="BA29" s="73">
        <f t="shared" si="6"/>
        <v>121.82814865812666</v>
      </c>
      <c r="BB29" s="73">
        <f t="shared" si="21"/>
        <v>-3.171851341873335</v>
      </c>
      <c r="BC29" s="71">
        <f t="shared" si="7"/>
        <v>25.071851341873334</v>
      </c>
      <c r="BD29" s="71">
        <f t="shared" si="8"/>
        <v>0.040936553094176986</v>
      </c>
      <c r="BE29" s="74">
        <f t="shared" si="9"/>
        <v>0</v>
      </c>
      <c r="BG29" s="14">
        <f t="shared" si="22"/>
        <v>121.82814865812666</v>
      </c>
      <c r="BH29" s="14">
        <f t="shared" si="10"/>
        <v>0</v>
      </c>
      <c r="BI29" s="14">
        <f t="shared" si="11"/>
        <v>0</v>
      </c>
      <c r="BJ29" s="14">
        <f t="shared" si="23"/>
        <v>1</v>
      </c>
      <c r="BK29" s="14">
        <f t="shared" si="12"/>
        <v>0</v>
      </c>
      <c r="BL29" s="14">
        <f t="shared" si="24"/>
        <v>1</v>
      </c>
      <c r="BM29" s="14">
        <f t="shared" si="25"/>
        <v>1</v>
      </c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</row>
    <row r="30" spans="1:107" ht="12.75">
      <c r="A30" s="239"/>
      <c r="B30" s="458" t="s">
        <v>103</v>
      </c>
      <c r="C30" s="65">
        <v>10</v>
      </c>
      <c r="D30" s="233">
        <f t="shared" si="13"/>
        <v>111</v>
      </c>
      <c r="E30" s="66">
        <v>21.2</v>
      </c>
      <c r="F30" s="66">
        <v>10.4</v>
      </c>
      <c r="G30" s="464">
        <f t="shared" si="0"/>
        <v>11.353444330375025</v>
      </c>
      <c r="H30" s="195">
        <f t="shared" si="26"/>
        <v>8.909060473577005</v>
      </c>
      <c r="I30" s="73"/>
      <c r="J30" s="196" t="s">
        <v>18</v>
      </c>
      <c r="K30" s="196"/>
      <c r="L30" s="197">
        <f t="shared" si="14"/>
        <v>25.225003504189353</v>
      </c>
      <c r="M30" s="18"/>
      <c r="N30" s="124">
        <f t="shared" si="1"/>
        <v>11.579036651251466</v>
      </c>
      <c r="O30" s="124">
        <f t="shared" si="2"/>
        <v>85.15083247781268</v>
      </c>
      <c r="P30" s="124">
        <f t="shared" si="15"/>
        <v>11.353444330375025</v>
      </c>
      <c r="R30" s="18"/>
      <c r="S30" s="18"/>
      <c r="T30" s="18"/>
      <c r="U30" s="18"/>
      <c r="V30" s="18"/>
      <c r="W30" s="276"/>
      <c r="X30" s="69"/>
      <c r="Y30" s="239"/>
      <c r="Z30" s="68" t="str">
        <f t="shared" si="27"/>
        <v>A3</v>
      </c>
      <c r="AA30" s="69">
        <f t="shared" si="3"/>
        <v>-1.2001051900612794</v>
      </c>
      <c r="AB30" s="70">
        <f t="shared" si="4"/>
        <v>0</v>
      </c>
      <c r="AC30" s="244"/>
      <c r="AD30" s="244"/>
      <c r="AE30" s="244"/>
      <c r="AF30" s="244"/>
      <c r="AG30" s="244"/>
      <c r="AH30" s="244"/>
      <c r="AI30" s="244"/>
      <c r="AJ30" s="244"/>
      <c r="AK30" s="244"/>
      <c r="AL30" s="253"/>
      <c r="AM30" s="253"/>
      <c r="AN30" s="253"/>
      <c r="AT30" s="71">
        <f t="shared" si="5"/>
        <v>-14.825003504189352</v>
      </c>
      <c r="AU30" s="71">
        <f t="shared" si="16"/>
        <v>0</v>
      </c>
      <c r="AV30" s="71">
        <f t="shared" si="17"/>
        <v>-14.825003504189352</v>
      </c>
      <c r="AW30" s="71">
        <f t="shared" si="18"/>
        <v>0</v>
      </c>
      <c r="AX30" s="71">
        <f t="shared" si="19"/>
        <v>0</v>
      </c>
      <c r="AY30" s="72">
        <f t="shared" si="28"/>
      </c>
      <c r="AZ30" s="71">
        <f t="shared" si="20"/>
        <v>-18.037791399156866</v>
      </c>
      <c r="BA30" s="73">
        <f t="shared" si="6"/>
        <v>108.20325034399859</v>
      </c>
      <c r="BB30" s="73">
        <f t="shared" si="21"/>
        <v>-13.624898314128075</v>
      </c>
      <c r="BC30" s="71">
        <f t="shared" si="7"/>
        <v>24.024898314128073</v>
      </c>
      <c r="BD30" s="71">
        <f t="shared" si="8"/>
        <v>1.2001051900612794</v>
      </c>
      <c r="BE30" s="74">
        <f t="shared" si="9"/>
        <v>0</v>
      </c>
      <c r="BG30" s="14">
        <f t="shared" si="22"/>
        <v>108.20325034399859</v>
      </c>
      <c r="BH30" s="14">
        <f t="shared" si="10"/>
        <v>0</v>
      </c>
      <c r="BI30" s="14">
        <f t="shared" si="11"/>
        <v>0</v>
      </c>
      <c r="BJ30" s="14">
        <f t="shared" si="23"/>
        <v>1</v>
      </c>
      <c r="BK30" s="14">
        <f t="shared" si="12"/>
        <v>0</v>
      </c>
      <c r="BL30" s="14">
        <f t="shared" si="24"/>
        <v>1</v>
      </c>
      <c r="BM30" s="14">
        <f t="shared" si="25"/>
        <v>1</v>
      </c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</row>
    <row r="31" spans="1:107" ht="12.75">
      <c r="A31" s="239"/>
      <c r="B31" s="458" t="s">
        <v>98</v>
      </c>
      <c r="C31" s="65">
        <v>10</v>
      </c>
      <c r="D31" s="233">
        <f t="shared" si="13"/>
        <v>121</v>
      </c>
      <c r="E31" s="66">
        <v>20</v>
      </c>
      <c r="F31" s="66">
        <v>12.6</v>
      </c>
      <c r="G31" s="464">
        <f t="shared" si="0"/>
        <v>11.15960624403918</v>
      </c>
      <c r="H31" s="195">
        <f t="shared" si="26"/>
        <v>8.156781463985524</v>
      </c>
      <c r="I31" s="73"/>
      <c r="J31" s="196" t="s">
        <v>18</v>
      </c>
      <c r="K31" s="196"/>
      <c r="L31" s="197">
        <f t="shared" si="14"/>
        <v>21.57511554470225</v>
      </c>
      <c r="M31" s="18"/>
      <c r="N31" s="124">
        <f t="shared" si="1"/>
        <v>14.90088745587466</v>
      </c>
      <c r="O31" s="124">
        <f t="shared" si="2"/>
        <v>83.69704683029386</v>
      </c>
      <c r="P31" s="124">
        <f t="shared" si="15"/>
        <v>11.15960624403918</v>
      </c>
      <c r="R31" s="18"/>
      <c r="S31" s="18"/>
      <c r="T31" s="18"/>
      <c r="U31" s="18"/>
      <c r="V31" s="18"/>
      <c r="W31" s="276"/>
      <c r="X31" s="69"/>
      <c r="Y31" s="239"/>
      <c r="Z31" s="68" t="str">
        <f t="shared" si="27"/>
        <v>M1</v>
      </c>
      <c r="AA31" s="69">
        <f t="shared" si="3"/>
        <v>-1.47837889147074</v>
      </c>
      <c r="AB31" s="70">
        <f t="shared" si="4"/>
        <v>0</v>
      </c>
      <c r="AC31" s="244"/>
      <c r="AD31" s="244"/>
      <c r="AE31" s="244"/>
      <c r="AF31" s="244"/>
      <c r="AG31" s="244"/>
      <c r="AH31" s="244"/>
      <c r="AI31" s="244"/>
      <c r="AJ31" s="244"/>
      <c r="AK31" s="244"/>
      <c r="AL31" s="253"/>
      <c r="AM31" s="253"/>
      <c r="AN31" s="253"/>
      <c r="AT31" s="71">
        <f t="shared" si="5"/>
        <v>-8.97511554470225</v>
      </c>
      <c r="AU31" s="71">
        <f t="shared" si="16"/>
        <v>0</v>
      </c>
      <c r="AV31" s="71">
        <f t="shared" si="17"/>
        <v>-8.97511554470225</v>
      </c>
      <c r="AW31" s="71">
        <f t="shared" si="18"/>
        <v>0</v>
      </c>
      <c r="AX31" s="71">
        <f t="shared" si="19"/>
        <v>0</v>
      </c>
      <c r="AY31" s="72">
        <f t="shared" si="28"/>
      </c>
      <c r="AZ31" s="71">
        <f t="shared" si="20"/>
        <v>-27.012906943859115</v>
      </c>
      <c r="BA31" s="73">
        <f t="shared" si="6"/>
        <v>100.70651369076708</v>
      </c>
      <c r="BB31" s="73">
        <f t="shared" si="21"/>
        <v>-7.496736653231508</v>
      </c>
      <c r="BC31" s="71">
        <f t="shared" si="7"/>
        <v>20.09673665323151</v>
      </c>
      <c r="BD31" s="71">
        <f t="shared" si="8"/>
        <v>1.47837889147074</v>
      </c>
      <c r="BE31" s="74">
        <f t="shared" si="9"/>
        <v>0</v>
      </c>
      <c r="BG31" s="14">
        <f t="shared" si="22"/>
        <v>100.70651369076708</v>
      </c>
      <c r="BH31" s="14">
        <f t="shared" si="10"/>
        <v>0</v>
      </c>
      <c r="BI31" s="14">
        <f t="shared" si="11"/>
        <v>0</v>
      </c>
      <c r="BJ31" s="14">
        <f t="shared" si="23"/>
        <v>1</v>
      </c>
      <c r="BK31" s="14">
        <f t="shared" si="12"/>
        <v>0</v>
      </c>
      <c r="BL31" s="14">
        <f t="shared" si="24"/>
        <v>1</v>
      </c>
      <c r="BM31" s="14">
        <f t="shared" si="25"/>
        <v>1</v>
      </c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</row>
    <row r="32" spans="1:107" ht="12.75">
      <c r="A32" s="239"/>
      <c r="B32" s="458" t="s">
        <v>99</v>
      </c>
      <c r="C32" s="65">
        <v>10</v>
      </c>
      <c r="D32" s="233">
        <f t="shared" si="13"/>
        <v>131</v>
      </c>
      <c r="E32" s="66">
        <v>19</v>
      </c>
      <c r="F32" s="66">
        <v>31.6</v>
      </c>
      <c r="G32" s="464">
        <f t="shared" si="0"/>
        <v>10.986147782587851</v>
      </c>
      <c r="H32" s="195">
        <f t="shared" si="26"/>
        <v>7.547313069109827</v>
      </c>
      <c r="I32" s="73"/>
      <c r="J32" s="196" t="s">
        <v>18</v>
      </c>
      <c r="K32" s="196"/>
      <c r="L32" s="197">
        <f t="shared" si="14"/>
        <v>18.792346483800976</v>
      </c>
      <c r="M32" s="18"/>
      <c r="N32" s="124">
        <f t="shared" si="1"/>
        <v>17.782271208822287</v>
      </c>
      <c r="O32" s="124">
        <f t="shared" si="2"/>
        <v>82.39610836940888</v>
      </c>
      <c r="P32" s="124">
        <f t="shared" si="15"/>
        <v>10.986147782587851</v>
      </c>
      <c r="R32" s="18"/>
      <c r="S32" s="18"/>
      <c r="T32" s="18"/>
      <c r="U32" s="18"/>
      <c r="V32" s="18"/>
      <c r="W32" s="276"/>
      <c r="X32" s="69"/>
      <c r="Y32" s="239"/>
      <c r="Z32" s="68" t="str">
        <f t="shared" si="27"/>
        <v>M2</v>
      </c>
      <c r="AA32" s="69">
        <f t="shared" si="3"/>
        <v>0</v>
      </c>
      <c r="AB32" s="70">
        <f t="shared" si="4"/>
        <v>0</v>
      </c>
      <c r="AC32" s="244"/>
      <c r="AD32" s="244"/>
      <c r="AE32" s="244"/>
      <c r="AF32" s="244"/>
      <c r="AG32" s="244"/>
      <c r="AH32" s="244"/>
      <c r="AI32" s="244"/>
      <c r="AJ32" s="244"/>
      <c r="AK32" s="244"/>
      <c r="AL32" s="253"/>
      <c r="AM32" s="253"/>
      <c r="AN32" s="253"/>
      <c r="AT32" s="71">
        <f t="shared" si="5"/>
        <v>12.807653516199025</v>
      </c>
      <c r="AU32" s="71">
        <f t="shared" si="16"/>
        <v>12.807653516199025</v>
      </c>
      <c r="AV32" s="71">
        <f t="shared" si="17"/>
        <v>0</v>
      </c>
      <c r="AW32" s="71">
        <f t="shared" si="18"/>
        <v>12.807653516199025</v>
      </c>
      <c r="AX32" s="71">
        <f t="shared" si="19"/>
        <v>12.807653516199025</v>
      </c>
      <c r="AY32" s="72">
        <f t="shared" si="28"/>
      </c>
      <c r="AZ32" s="71">
        <f t="shared" si="20"/>
        <v>-12.048260870451564</v>
      </c>
      <c r="BA32" s="73">
        <f t="shared" si="6"/>
        <v>113.5141672069661</v>
      </c>
      <c r="BB32" s="73">
        <f t="shared" si="21"/>
        <v>12.807653516199025</v>
      </c>
      <c r="BC32" s="71">
        <f t="shared" si="7"/>
        <v>18.792346483800976</v>
      </c>
      <c r="BD32" s="71">
        <f t="shared" si="8"/>
        <v>0</v>
      </c>
      <c r="BE32" s="74">
        <f t="shared" si="9"/>
        <v>0</v>
      </c>
      <c r="BG32" s="14">
        <f t="shared" si="22"/>
        <v>113.5141672069661</v>
      </c>
      <c r="BH32" s="14">
        <f t="shared" si="10"/>
        <v>0</v>
      </c>
      <c r="BI32" s="14">
        <f t="shared" si="11"/>
        <v>0</v>
      </c>
      <c r="BJ32" s="14">
        <f t="shared" si="23"/>
        <v>1</v>
      </c>
      <c r="BK32" s="14">
        <f t="shared" si="12"/>
        <v>0</v>
      </c>
      <c r="BL32" s="14">
        <f t="shared" si="24"/>
        <v>1</v>
      </c>
      <c r="BM32" s="14">
        <f t="shared" si="25"/>
        <v>1</v>
      </c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</row>
    <row r="33" spans="1:107" ht="12.75">
      <c r="A33" s="239"/>
      <c r="B33" s="458" t="s">
        <v>100</v>
      </c>
      <c r="C33" s="65">
        <v>11</v>
      </c>
      <c r="D33" s="233">
        <f t="shared" si="13"/>
        <v>141</v>
      </c>
      <c r="E33" s="66">
        <v>18.6</v>
      </c>
      <c r="F33" s="66">
        <v>8.1</v>
      </c>
      <c r="G33" s="464">
        <f t="shared" si="0"/>
        <v>10.83975261080877</v>
      </c>
      <c r="H33" s="195">
        <f t="shared" si="26"/>
        <v>7.30805842965076</v>
      </c>
      <c r="I33" s="73"/>
      <c r="J33" s="196" t="s">
        <v>18</v>
      </c>
      <c r="K33" s="196"/>
      <c r="L33" s="197">
        <f t="shared" si="14"/>
        <v>19.38618199683976</v>
      </c>
      <c r="M33" s="18"/>
      <c r="N33" s="124">
        <f t="shared" si="1"/>
        <v>20.138014821567577</v>
      </c>
      <c r="O33" s="124">
        <f t="shared" si="2"/>
        <v>81.29814458106577</v>
      </c>
      <c r="P33" s="124">
        <f t="shared" si="15"/>
        <v>10.83975261080877</v>
      </c>
      <c r="R33" s="18"/>
      <c r="S33" s="18"/>
      <c r="T33" s="18"/>
      <c r="U33" s="18"/>
      <c r="V33" s="18"/>
      <c r="W33" s="276"/>
      <c r="X33" s="69"/>
      <c r="Y33" s="239"/>
      <c r="Z33" s="68" t="str">
        <f t="shared" si="27"/>
        <v>M3</v>
      </c>
      <c r="AA33" s="69">
        <f t="shared" si="3"/>
        <v>-1.4861271556754048</v>
      </c>
      <c r="AB33" s="70">
        <f t="shared" si="4"/>
        <v>0</v>
      </c>
      <c r="AC33" s="244"/>
      <c r="AD33" s="244"/>
      <c r="AE33" s="244"/>
      <c r="AF33" s="244"/>
      <c r="AG33" s="244"/>
      <c r="AH33" s="244"/>
      <c r="AI33" s="244"/>
      <c r="AJ33" s="244"/>
      <c r="AK33" s="244"/>
      <c r="AL33" s="253"/>
      <c r="AM33" s="253"/>
      <c r="AN33" s="253"/>
      <c r="AT33" s="71">
        <f t="shared" si="5"/>
        <v>-11.28618199683976</v>
      </c>
      <c r="AU33" s="71">
        <f t="shared" si="16"/>
        <v>0</v>
      </c>
      <c r="AV33" s="71">
        <f t="shared" si="17"/>
        <v>-11.28618199683976</v>
      </c>
      <c r="AW33" s="71">
        <f t="shared" si="18"/>
        <v>0</v>
      </c>
      <c r="AX33" s="71">
        <f t="shared" si="19"/>
        <v>0</v>
      </c>
      <c r="AY33" s="72">
        <f t="shared" si="28"/>
      </c>
      <c r="AZ33" s="71">
        <f t="shared" si="20"/>
        <v>-23.334442867291322</v>
      </c>
      <c r="BA33" s="73">
        <f t="shared" si="6"/>
        <v>103.71411236580175</v>
      </c>
      <c r="BB33" s="73">
        <f t="shared" si="21"/>
        <v>-9.800054841164354</v>
      </c>
      <c r="BC33" s="71">
        <f t="shared" si="7"/>
        <v>17.900054841164355</v>
      </c>
      <c r="BD33" s="71">
        <f t="shared" si="8"/>
        <v>1.4861271556754048</v>
      </c>
      <c r="BE33" s="74">
        <f t="shared" si="9"/>
        <v>0</v>
      </c>
      <c r="BG33" s="14">
        <f t="shared" si="22"/>
        <v>103.71411236580175</v>
      </c>
      <c r="BH33" s="14">
        <f t="shared" si="10"/>
        <v>0</v>
      </c>
      <c r="BI33" s="14">
        <f t="shared" si="11"/>
        <v>0</v>
      </c>
      <c r="BJ33" s="14">
        <f t="shared" si="23"/>
        <v>1</v>
      </c>
      <c r="BK33" s="14">
        <f t="shared" si="12"/>
        <v>0</v>
      </c>
      <c r="BL33" s="14">
        <f t="shared" si="24"/>
        <v>1</v>
      </c>
      <c r="BM33" s="14">
        <f t="shared" si="25"/>
        <v>1</v>
      </c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</row>
    <row r="34" spans="1:107" ht="12.75">
      <c r="A34" s="239"/>
      <c r="B34" s="458" t="s">
        <v>92</v>
      </c>
      <c r="C34" s="65">
        <v>10</v>
      </c>
      <c r="D34" s="233">
        <f t="shared" si="13"/>
        <v>152</v>
      </c>
      <c r="E34" s="66">
        <v>18</v>
      </c>
      <c r="F34" s="66">
        <v>15.6</v>
      </c>
      <c r="G34" s="464">
        <f t="shared" si="0"/>
        <v>10.718017557836934</v>
      </c>
      <c r="H34" s="195">
        <f t="shared" si="26"/>
        <v>6.95411688690119</v>
      </c>
      <c r="I34" s="73"/>
      <c r="J34" s="196" t="s">
        <v>18</v>
      </c>
      <c r="K34" s="196"/>
      <c r="L34" s="197">
        <f t="shared" si="14"/>
        <v>16.11409822097066</v>
      </c>
      <c r="M34" s="18"/>
      <c r="N34" s="124">
        <f t="shared" si="1"/>
        <v>22.039624558737447</v>
      </c>
      <c r="O34" s="124">
        <f t="shared" si="2"/>
        <v>80.385131683777</v>
      </c>
      <c r="P34" s="124">
        <f t="shared" si="15"/>
        <v>10.718017557836934</v>
      </c>
      <c r="R34" s="18"/>
      <c r="S34" s="18"/>
      <c r="T34" s="18"/>
      <c r="U34" s="18"/>
      <c r="V34" s="18"/>
      <c r="W34" s="276"/>
      <c r="X34" s="69"/>
      <c r="Y34" s="239"/>
      <c r="Z34" s="68" t="str">
        <f t="shared" si="27"/>
        <v>J1</v>
      </c>
      <c r="AA34" s="69">
        <f t="shared" si="3"/>
        <v>-0.08842025688098687</v>
      </c>
      <c r="AB34" s="70">
        <f t="shared" si="4"/>
        <v>0</v>
      </c>
      <c r="AC34" s="244"/>
      <c r="AD34" s="244"/>
      <c r="AE34" s="244"/>
      <c r="AF34" s="244"/>
      <c r="AG34" s="244"/>
      <c r="AH34" s="244"/>
      <c r="AI34" s="244"/>
      <c r="AJ34" s="244"/>
      <c r="AK34" s="244"/>
      <c r="AL34" s="253"/>
      <c r="AM34" s="253"/>
      <c r="AN34" s="253"/>
      <c r="AT34" s="71">
        <f t="shared" si="5"/>
        <v>-0.514098220970661</v>
      </c>
      <c r="AU34" s="71">
        <f t="shared" si="16"/>
        <v>0</v>
      </c>
      <c r="AV34" s="71">
        <f t="shared" si="17"/>
        <v>-0.514098220970661</v>
      </c>
      <c r="AW34" s="71">
        <f t="shared" si="18"/>
        <v>0</v>
      </c>
      <c r="AX34" s="71">
        <f t="shared" si="19"/>
        <v>0</v>
      </c>
      <c r="AY34" s="72">
        <f t="shared" si="28"/>
      </c>
      <c r="AZ34" s="71">
        <f t="shared" si="20"/>
        <v>-23.84854108826198</v>
      </c>
      <c r="BA34" s="73">
        <f t="shared" si="6"/>
        <v>103.28843440171208</v>
      </c>
      <c r="BB34" s="73">
        <f t="shared" si="21"/>
        <v>-0.4256779640896724</v>
      </c>
      <c r="BC34" s="71">
        <f t="shared" si="7"/>
        <v>16.025677964089674</v>
      </c>
      <c r="BD34" s="71">
        <f t="shared" si="8"/>
        <v>0.08842025688098687</v>
      </c>
      <c r="BE34" s="74">
        <f t="shared" si="9"/>
        <v>0</v>
      </c>
      <c r="BG34" s="14">
        <f t="shared" si="22"/>
        <v>103.28843440171208</v>
      </c>
      <c r="BH34" s="14">
        <f t="shared" si="10"/>
        <v>0</v>
      </c>
      <c r="BI34" s="14">
        <f t="shared" si="11"/>
        <v>0</v>
      </c>
      <c r="BJ34" s="14">
        <f t="shared" si="23"/>
        <v>1</v>
      </c>
      <c r="BK34" s="14">
        <f t="shared" si="12"/>
        <v>0</v>
      </c>
      <c r="BL34" s="14">
        <f t="shared" si="24"/>
        <v>1</v>
      </c>
      <c r="BM34" s="14">
        <f t="shared" si="25"/>
        <v>1</v>
      </c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</row>
    <row r="35" spans="1:107" ht="12.75">
      <c r="A35" s="239"/>
      <c r="B35" s="458" t="s">
        <v>93</v>
      </c>
      <c r="C35" s="65">
        <v>10</v>
      </c>
      <c r="D35" s="233">
        <f t="shared" si="13"/>
        <v>162</v>
      </c>
      <c r="E35" s="66">
        <v>17.5</v>
      </c>
      <c r="F35" s="66">
        <v>21.5</v>
      </c>
      <c r="G35" s="464">
        <f t="shared" si="0"/>
        <v>10.649506881966717</v>
      </c>
      <c r="H35" s="195">
        <f t="shared" si="26"/>
        <v>6.663754965476194</v>
      </c>
      <c r="I35" s="73"/>
      <c r="J35" s="196" t="s">
        <v>18</v>
      </c>
      <c r="K35" s="196"/>
      <c r="L35" s="197">
        <f t="shared" si="14"/>
        <v>14.969944066916337</v>
      </c>
      <c r="M35" s="18"/>
      <c r="N35" s="124">
        <f t="shared" si="1"/>
        <v>23.08591100283656</v>
      </c>
      <c r="O35" s="124">
        <f t="shared" si="2"/>
        <v>79.87130161475038</v>
      </c>
      <c r="P35" s="124">
        <f t="shared" si="15"/>
        <v>10.649506881966717</v>
      </c>
      <c r="R35" s="18"/>
      <c r="S35" s="18"/>
      <c r="T35" s="18"/>
      <c r="U35" s="18"/>
      <c r="V35" s="18"/>
      <c r="W35" s="276"/>
      <c r="X35" s="69"/>
      <c r="Y35" s="239"/>
      <c r="Z35" s="68" t="str">
        <f t="shared" si="27"/>
        <v>J2</v>
      </c>
      <c r="AA35" s="69">
        <f t="shared" si="3"/>
        <v>0</v>
      </c>
      <c r="AB35" s="70">
        <f t="shared" si="4"/>
        <v>0</v>
      </c>
      <c r="AC35" s="244"/>
      <c r="AD35" s="244"/>
      <c r="AE35" s="244"/>
      <c r="AF35" s="244"/>
      <c r="AG35" s="244"/>
      <c r="AH35" s="244"/>
      <c r="AI35" s="244"/>
      <c r="AJ35" s="244"/>
      <c r="AK35" s="244"/>
      <c r="AL35" s="253"/>
      <c r="AM35" s="253"/>
      <c r="AN35" s="253"/>
      <c r="AT35" s="71">
        <f t="shared" si="5"/>
        <v>6.530055933083663</v>
      </c>
      <c r="AU35" s="71">
        <f t="shared" si="16"/>
        <v>6.530055933083663</v>
      </c>
      <c r="AV35" s="71">
        <f t="shared" si="17"/>
        <v>0</v>
      </c>
      <c r="AW35" s="71">
        <f t="shared" si="18"/>
        <v>6.530055933083663</v>
      </c>
      <c r="AX35" s="71">
        <f t="shared" si="19"/>
        <v>6.530055933083663</v>
      </c>
      <c r="AY35" s="72">
        <f t="shared" si="28"/>
      </c>
      <c r="AZ35" s="71">
        <f t="shared" si="20"/>
        <v>-16.185602783728772</v>
      </c>
      <c r="BA35" s="73">
        <f t="shared" si="6"/>
        <v>109.81849033479574</v>
      </c>
      <c r="BB35" s="73">
        <f t="shared" si="21"/>
        <v>6.530055933083659</v>
      </c>
      <c r="BC35" s="71">
        <f t="shared" si="7"/>
        <v>14.969944066916337</v>
      </c>
      <c r="BD35" s="71">
        <f t="shared" si="8"/>
        <v>0</v>
      </c>
      <c r="BE35" s="74">
        <f t="shared" si="9"/>
        <v>0</v>
      </c>
      <c r="BG35" s="14">
        <f t="shared" si="22"/>
        <v>109.81849033479574</v>
      </c>
      <c r="BH35" s="14">
        <f t="shared" si="10"/>
        <v>0</v>
      </c>
      <c r="BI35" s="14">
        <f t="shared" si="11"/>
        <v>0</v>
      </c>
      <c r="BJ35" s="14">
        <f t="shared" si="23"/>
        <v>1</v>
      </c>
      <c r="BK35" s="14">
        <f t="shared" si="12"/>
        <v>0</v>
      </c>
      <c r="BL35" s="14">
        <f t="shared" si="24"/>
        <v>1</v>
      </c>
      <c r="BM35" s="14">
        <f t="shared" si="25"/>
        <v>1</v>
      </c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</row>
    <row r="36" spans="1:107" ht="12.75">
      <c r="A36" s="239"/>
      <c r="B36" s="458" t="s">
        <v>94</v>
      </c>
      <c r="C36" s="65">
        <v>10</v>
      </c>
      <c r="D36" s="233">
        <f t="shared" si="13"/>
        <v>172</v>
      </c>
      <c r="E36" s="66">
        <v>17</v>
      </c>
      <c r="F36" s="66">
        <v>6.5</v>
      </c>
      <c r="G36" s="464">
        <f t="shared" si="0"/>
        <v>10.625406514453523</v>
      </c>
      <c r="H36" s="195">
        <f t="shared" si="26"/>
        <v>6.377626482653426</v>
      </c>
      <c r="I36" s="73"/>
      <c r="J36" s="196" t="s">
        <v>18</v>
      </c>
      <c r="K36" s="196"/>
      <c r="L36" s="197">
        <f t="shared" si="14"/>
        <v>13.93762745249712</v>
      </c>
      <c r="M36" s="18"/>
      <c r="N36" s="124">
        <f t="shared" si="1"/>
        <v>23.449782846813658</v>
      </c>
      <c r="O36" s="124">
        <f t="shared" si="2"/>
        <v>79.69054885840143</v>
      </c>
      <c r="P36" s="124">
        <f t="shared" si="15"/>
        <v>10.625406514453523</v>
      </c>
      <c r="R36" s="18"/>
      <c r="S36" s="18"/>
      <c r="T36" s="18"/>
      <c r="U36" s="18"/>
      <c r="V36" s="18"/>
      <c r="W36" s="276"/>
      <c r="X36" s="69"/>
      <c r="Y36" s="239"/>
      <c r="Z36" s="68" t="str">
        <f t="shared" si="27"/>
        <v>J3</v>
      </c>
      <c r="AA36" s="69">
        <f t="shared" si="3"/>
        <v>-1.093915451486092</v>
      </c>
      <c r="AB36" s="70">
        <f t="shared" si="4"/>
        <v>0</v>
      </c>
      <c r="AC36" s="244"/>
      <c r="AD36" s="244"/>
      <c r="AE36" s="244"/>
      <c r="AF36" s="244"/>
      <c r="AG36" s="244"/>
      <c r="AH36" s="244"/>
      <c r="AI36" s="244"/>
      <c r="AJ36" s="244"/>
      <c r="AK36" s="244"/>
      <c r="AL36" s="253"/>
      <c r="AM36" s="253"/>
      <c r="AN36" s="253"/>
      <c r="AT36" s="71">
        <f t="shared" si="5"/>
        <v>-7.43762745249712</v>
      </c>
      <c r="AU36" s="71">
        <f t="shared" si="16"/>
        <v>0</v>
      </c>
      <c r="AV36" s="71">
        <f t="shared" si="17"/>
        <v>-7.43762745249712</v>
      </c>
      <c r="AW36" s="71">
        <f t="shared" si="18"/>
        <v>0</v>
      </c>
      <c r="AX36" s="71">
        <f t="shared" si="19"/>
        <v>0</v>
      </c>
      <c r="AY36" s="72">
        <f t="shared" si="28"/>
      </c>
      <c r="AZ36" s="71">
        <f t="shared" si="20"/>
        <v>-23.623230236225893</v>
      </c>
      <c r="BA36" s="73">
        <f t="shared" si="6"/>
        <v>103.47477833378471</v>
      </c>
      <c r="BB36" s="73">
        <f t="shared" si="21"/>
        <v>-6.343712001011028</v>
      </c>
      <c r="BC36" s="71">
        <f t="shared" si="7"/>
        <v>12.843712001011028</v>
      </c>
      <c r="BD36" s="71">
        <f t="shared" si="8"/>
        <v>1.093915451486092</v>
      </c>
      <c r="BE36" s="74">
        <f t="shared" si="9"/>
        <v>0</v>
      </c>
      <c r="BG36" s="14">
        <f t="shared" si="22"/>
        <v>103.47477833378471</v>
      </c>
      <c r="BH36" s="14">
        <f t="shared" si="10"/>
        <v>0</v>
      </c>
      <c r="BI36" s="14">
        <f t="shared" si="11"/>
        <v>0</v>
      </c>
      <c r="BJ36" s="14">
        <f t="shared" si="23"/>
        <v>1</v>
      </c>
      <c r="BK36" s="14">
        <f t="shared" si="12"/>
        <v>0</v>
      </c>
      <c r="BL36" s="14">
        <f t="shared" si="24"/>
        <v>1</v>
      </c>
      <c r="BM36" s="14">
        <f t="shared" si="25"/>
        <v>1</v>
      </c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</row>
    <row r="37" spans="1:107" ht="12.75">
      <c r="A37" s="239"/>
      <c r="B37" s="458" t="s">
        <v>92</v>
      </c>
      <c r="C37" s="65">
        <v>10</v>
      </c>
      <c r="D37" s="233">
        <f t="shared" si="13"/>
        <v>182</v>
      </c>
      <c r="E37" s="66">
        <v>17</v>
      </c>
      <c r="F37" s="66">
        <v>19</v>
      </c>
      <c r="G37" s="464">
        <f t="shared" si="0"/>
        <v>10.647223224894656</v>
      </c>
      <c r="H37" s="195">
        <f t="shared" si="26"/>
        <v>6.377626482653426</v>
      </c>
      <c r="I37" s="73"/>
      <c r="J37" s="196" t="s">
        <v>18</v>
      </c>
      <c r="K37" s="196"/>
      <c r="L37" s="197">
        <f t="shared" si="14"/>
        <v>13.966245010042226</v>
      </c>
      <c r="M37" s="18"/>
      <c r="N37" s="124">
        <f t="shared" si="1"/>
        <v>23.120484116651824</v>
      </c>
      <c r="O37" s="124">
        <f t="shared" si="2"/>
        <v>79.85417418670993</v>
      </c>
      <c r="P37" s="124">
        <f t="shared" si="15"/>
        <v>10.647223224894656</v>
      </c>
      <c r="R37" s="18"/>
      <c r="S37" s="18"/>
      <c r="T37" s="18"/>
      <c r="U37" s="18"/>
      <c r="V37" s="18"/>
      <c r="W37" s="276"/>
      <c r="X37" s="69"/>
      <c r="Y37" s="239"/>
      <c r="Z37" s="68" t="str">
        <f t="shared" si="27"/>
        <v>J1</v>
      </c>
      <c r="AA37" s="69">
        <f t="shared" si="3"/>
        <v>0</v>
      </c>
      <c r="AB37" s="70">
        <f t="shared" si="4"/>
        <v>0</v>
      </c>
      <c r="AC37" s="244"/>
      <c r="AD37" s="244"/>
      <c r="AE37" s="244"/>
      <c r="AF37" s="244"/>
      <c r="AG37" s="244"/>
      <c r="AH37" s="244"/>
      <c r="AI37" s="244"/>
      <c r="AJ37" s="244"/>
      <c r="AK37" s="244"/>
      <c r="AL37" s="253"/>
      <c r="AM37" s="253"/>
      <c r="AN37" s="253"/>
      <c r="AT37" s="71">
        <f t="shared" si="5"/>
        <v>5.0337549899577745</v>
      </c>
      <c r="AU37" s="71">
        <f t="shared" si="16"/>
        <v>5.0337549899577745</v>
      </c>
      <c r="AV37" s="71">
        <f t="shared" si="17"/>
        <v>0</v>
      </c>
      <c r="AW37" s="71">
        <f t="shared" si="18"/>
        <v>5.0337549899577745</v>
      </c>
      <c r="AX37" s="71">
        <f t="shared" si="19"/>
        <v>5.0337549899577745</v>
      </c>
      <c r="AY37" s="72">
        <f t="shared" si="28"/>
      </c>
      <c r="AZ37" s="71">
        <f t="shared" si="20"/>
        <v>-17.685614908662263</v>
      </c>
      <c r="BA37" s="73">
        <f t="shared" si="6"/>
        <v>108.50853332374248</v>
      </c>
      <c r="BB37" s="73">
        <f t="shared" si="21"/>
        <v>5.033754989957771</v>
      </c>
      <c r="BC37" s="71">
        <f t="shared" si="7"/>
        <v>13.966245010042226</v>
      </c>
      <c r="BD37" s="71">
        <f t="shared" si="8"/>
        <v>0</v>
      </c>
      <c r="BE37" s="74">
        <f t="shared" si="9"/>
        <v>0</v>
      </c>
      <c r="BG37" s="14">
        <f t="shared" si="22"/>
        <v>108.50853332374248</v>
      </c>
      <c r="BH37" s="14">
        <f t="shared" si="10"/>
        <v>0</v>
      </c>
      <c r="BI37" s="14">
        <f t="shared" si="11"/>
        <v>0</v>
      </c>
      <c r="BJ37" s="14">
        <f t="shared" si="23"/>
        <v>1</v>
      </c>
      <c r="BK37" s="14">
        <f t="shared" si="12"/>
        <v>0</v>
      </c>
      <c r="BL37" s="14">
        <f t="shared" si="24"/>
        <v>1</v>
      </c>
      <c r="BM37" s="14">
        <f t="shared" si="25"/>
        <v>1</v>
      </c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</row>
    <row r="38" spans="1:107" ht="12.75">
      <c r="A38" s="239"/>
      <c r="B38" s="458" t="s">
        <v>93</v>
      </c>
      <c r="C38" s="65">
        <v>10</v>
      </c>
      <c r="D38" s="233">
        <f t="shared" si="13"/>
        <v>192</v>
      </c>
      <c r="E38" s="66">
        <v>17.5</v>
      </c>
      <c r="F38" s="66">
        <v>9.2</v>
      </c>
      <c r="G38" s="464">
        <f t="shared" si="0"/>
        <v>10.713591337369623</v>
      </c>
      <c r="H38" s="195">
        <f t="shared" si="26"/>
        <v>6.663754965476194</v>
      </c>
      <c r="I38" s="73"/>
      <c r="J38" s="196" t="s">
        <v>18</v>
      </c>
      <c r="K38" s="196"/>
      <c r="L38" s="197">
        <f t="shared" si="14"/>
        <v>15.060027178141404</v>
      </c>
      <c r="M38" s="18"/>
      <c r="N38" s="124">
        <f t="shared" si="1"/>
        <v>22.107748812505367</v>
      </c>
      <c r="O38" s="124">
        <f t="shared" si="2"/>
        <v>80.35193503027217</v>
      </c>
      <c r="P38" s="124">
        <f t="shared" si="15"/>
        <v>10.713591337369623</v>
      </c>
      <c r="R38" s="18"/>
      <c r="S38" s="18"/>
      <c r="T38" s="18"/>
      <c r="U38" s="18"/>
      <c r="V38" s="18"/>
      <c r="W38" s="276"/>
      <c r="X38" s="69"/>
      <c r="Y38" s="239"/>
      <c r="Z38" s="68" t="str">
        <f t="shared" si="27"/>
        <v>J2</v>
      </c>
      <c r="AA38" s="69">
        <f t="shared" si="3"/>
        <v>-0.8905194579303064</v>
      </c>
      <c r="AB38" s="70">
        <f t="shared" si="4"/>
        <v>0</v>
      </c>
      <c r="AC38" s="244"/>
      <c r="AD38" s="244"/>
      <c r="AE38" s="244"/>
      <c r="AF38" s="244"/>
      <c r="AG38" s="244"/>
      <c r="AH38" s="244"/>
      <c r="AI38" s="244"/>
      <c r="AJ38" s="244"/>
      <c r="AK38" s="244"/>
      <c r="AL38" s="253"/>
      <c r="AM38" s="253"/>
      <c r="AN38" s="253"/>
      <c r="AT38" s="71">
        <f t="shared" si="5"/>
        <v>-5.860027178141404</v>
      </c>
      <c r="AU38" s="71">
        <f t="shared" si="16"/>
        <v>0</v>
      </c>
      <c r="AV38" s="71">
        <f t="shared" si="17"/>
        <v>-5.860027178141404</v>
      </c>
      <c r="AW38" s="71">
        <f t="shared" si="18"/>
        <v>0</v>
      </c>
      <c r="AX38" s="71">
        <f t="shared" si="19"/>
        <v>0</v>
      </c>
      <c r="AY38" s="72">
        <f t="shared" si="28"/>
      </c>
      <c r="AZ38" s="71">
        <f t="shared" si="20"/>
        <v>-23.545642086803667</v>
      </c>
      <c r="BA38" s="73">
        <f t="shared" si="6"/>
        <v>103.53902560353139</v>
      </c>
      <c r="BB38" s="73">
        <f t="shared" si="21"/>
        <v>-4.969507720211098</v>
      </c>
      <c r="BC38" s="71">
        <f t="shared" si="7"/>
        <v>14.169507720211097</v>
      </c>
      <c r="BD38" s="71">
        <f t="shared" si="8"/>
        <v>0.8905194579303064</v>
      </c>
      <c r="BE38" s="74">
        <f t="shared" si="9"/>
        <v>0</v>
      </c>
      <c r="BG38" s="14">
        <f t="shared" si="22"/>
        <v>103.53902560353139</v>
      </c>
      <c r="BH38" s="14">
        <f t="shared" si="10"/>
        <v>0</v>
      </c>
      <c r="BI38" s="14">
        <f t="shared" si="11"/>
        <v>0</v>
      </c>
      <c r="BJ38" s="14">
        <f t="shared" si="23"/>
        <v>1</v>
      </c>
      <c r="BK38" s="14">
        <f t="shared" si="12"/>
        <v>0</v>
      </c>
      <c r="BL38" s="14">
        <f t="shared" si="24"/>
        <v>1</v>
      </c>
      <c r="BM38" s="14">
        <f t="shared" si="25"/>
        <v>1</v>
      </c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</row>
    <row r="39" spans="1:107" ht="12.75">
      <c r="A39" s="239"/>
      <c r="B39" s="458" t="s">
        <v>94</v>
      </c>
      <c r="C39" s="65">
        <v>11</v>
      </c>
      <c r="D39" s="233">
        <f t="shared" si="13"/>
        <v>202</v>
      </c>
      <c r="E39" s="66">
        <v>17.8</v>
      </c>
      <c r="F39" s="66">
        <v>0</v>
      </c>
      <c r="G39" s="464">
        <f t="shared" si="0"/>
        <v>10.820550222341945</v>
      </c>
      <c r="H39" s="195">
        <f t="shared" si="26"/>
        <v>6.837467844515859</v>
      </c>
      <c r="I39" s="73"/>
      <c r="J39" s="196" t="s">
        <v>18</v>
      </c>
      <c r="K39" s="196"/>
      <c r="L39" s="197">
        <f t="shared" si="14"/>
        <v>17.424156081465657</v>
      </c>
      <c r="M39" s="18"/>
      <c r="N39" s="124">
        <f t="shared" si="1"/>
        <v>20.441513173733597</v>
      </c>
      <c r="O39" s="124">
        <f t="shared" si="2"/>
        <v>81.15412666756458</v>
      </c>
      <c r="P39" s="124">
        <f t="shared" si="15"/>
        <v>10.820550222341945</v>
      </c>
      <c r="R39" s="18"/>
      <c r="S39" s="18"/>
      <c r="T39" s="18"/>
      <c r="U39" s="18"/>
      <c r="V39" s="18"/>
      <c r="W39" s="276"/>
      <c r="X39" s="69"/>
      <c r="Y39" s="239"/>
      <c r="Z39" s="68" t="str">
        <f t="shared" si="27"/>
        <v>J3</v>
      </c>
      <c r="AA39" s="69">
        <f t="shared" si="3"/>
        <v>-3.9522668523331426</v>
      </c>
      <c r="AB39" s="70">
        <f t="shared" si="4"/>
        <v>0</v>
      </c>
      <c r="AC39" s="244"/>
      <c r="AD39" s="244"/>
      <c r="AE39" s="244"/>
      <c r="AF39" s="244"/>
      <c r="AG39" s="244"/>
      <c r="AH39" s="244"/>
      <c r="AI39" s="244"/>
      <c r="AJ39" s="244"/>
      <c r="AK39" s="244"/>
      <c r="AL39" s="253"/>
      <c r="AM39" s="253"/>
      <c r="AN39" s="253"/>
      <c r="AT39" s="71">
        <f t="shared" si="5"/>
        <v>-17.424156081465657</v>
      </c>
      <c r="AU39" s="71">
        <f t="shared" si="16"/>
        <v>0</v>
      </c>
      <c r="AV39" s="71">
        <f t="shared" si="17"/>
        <v>-17.424156081465657</v>
      </c>
      <c r="AW39" s="71">
        <f t="shared" si="18"/>
        <v>0</v>
      </c>
      <c r="AX39" s="71">
        <f t="shared" si="19"/>
        <v>0</v>
      </c>
      <c r="AY39" s="72">
        <f t="shared" si="28"/>
      </c>
      <c r="AZ39" s="71">
        <f t="shared" si="20"/>
        <v>-40.96979816826932</v>
      </c>
      <c r="BA39" s="73">
        <f t="shared" si="6"/>
        <v>90.06713637439887</v>
      </c>
      <c r="BB39" s="73">
        <f t="shared" si="21"/>
        <v>-13.471889229132515</v>
      </c>
      <c r="BC39" s="71">
        <f t="shared" si="7"/>
        <v>13.471889229132515</v>
      </c>
      <c r="BD39" s="71">
        <f t="shared" si="8"/>
        <v>3.9522668523331426</v>
      </c>
      <c r="BE39" s="74">
        <f t="shared" si="9"/>
        <v>0</v>
      </c>
      <c r="BG39" s="14">
        <f t="shared" si="22"/>
        <v>90.06713637439887</v>
      </c>
      <c r="BH39" s="14">
        <f t="shared" si="10"/>
        <v>0</v>
      </c>
      <c r="BI39" s="14">
        <f t="shared" si="11"/>
        <v>0</v>
      </c>
      <c r="BJ39" s="14">
        <f t="shared" si="23"/>
        <v>1</v>
      </c>
      <c r="BK39" s="14">
        <f t="shared" si="12"/>
        <v>0</v>
      </c>
      <c r="BL39" s="14">
        <f t="shared" si="24"/>
        <v>1</v>
      </c>
      <c r="BM39" s="14">
        <f t="shared" si="25"/>
        <v>1</v>
      </c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</row>
    <row r="40" spans="1:107" ht="12.75">
      <c r="A40" s="239"/>
      <c r="B40" s="458" t="s">
        <v>101</v>
      </c>
      <c r="C40" s="65">
        <v>10</v>
      </c>
      <c r="D40" s="233">
        <f t="shared" si="13"/>
        <v>213</v>
      </c>
      <c r="E40" s="66">
        <v>18</v>
      </c>
      <c r="F40" s="66">
        <v>0</v>
      </c>
      <c r="G40" s="464">
        <f t="shared" si="0"/>
        <v>10.978128268254709</v>
      </c>
      <c r="H40" s="195">
        <f t="shared" si="26"/>
        <v>6.95411688690119</v>
      </c>
      <c r="I40" s="73"/>
      <c r="J40" s="196" t="s">
        <v>18</v>
      </c>
      <c r="K40" s="196"/>
      <c r="L40" s="197">
        <f t="shared" si="14"/>
        <v>16.505163967353372</v>
      </c>
      <c r="M40" s="18"/>
      <c r="N40" s="124">
        <f t="shared" si="1"/>
        <v>17.913187969938228</v>
      </c>
      <c r="O40" s="124">
        <f t="shared" si="2"/>
        <v>82.33596201191031</v>
      </c>
      <c r="P40" s="124">
        <f t="shared" si="15"/>
        <v>10.978128268254709</v>
      </c>
      <c r="R40" s="18"/>
      <c r="S40" s="18"/>
      <c r="T40" s="18"/>
      <c r="U40" s="18"/>
      <c r="V40" s="18"/>
      <c r="W40" s="276"/>
      <c r="X40" s="69"/>
      <c r="Y40" s="239"/>
      <c r="Z40" s="68" t="str">
        <f t="shared" si="27"/>
        <v>A1</v>
      </c>
      <c r="AA40" s="69">
        <f t="shared" si="3"/>
        <v>-5.364290858719134</v>
      </c>
      <c r="AB40" s="70">
        <f t="shared" si="4"/>
        <v>0</v>
      </c>
      <c r="AC40" s="244"/>
      <c r="AD40" s="244"/>
      <c r="AE40" s="244"/>
      <c r="AF40" s="244"/>
      <c r="AG40" s="244"/>
      <c r="AH40" s="244"/>
      <c r="AI40" s="244"/>
      <c r="AJ40" s="244"/>
      <c r="AK40" s="244"/>
      <c r="AL40" s="253"/>
      <c r="AM40" s="253"/>
      <c r="AN40" s="253"/>
      <c r="AT40" s="71">
        <f t="shared" si="5"/>
        <v>-16.505163967353372</v>
      </c>
      <c r="AU40" s="71">
        <f t="shared" si="16"/>
        <v>0</v>
      </c>
      <c r="AV40" s="71">
        <f t="shared" si="17"/>
        <v>-16.505163967353372</v>
      </c>
      <c r="AW40" s="71">
        <f t="shared" si="18"/>
        <v>0</v>
      </c>
      <c r="AX40" s="71">
        <f t="shared" si="19"/>
        <v>0</v>
      </c>
      <c r="AY40" s="72">
        <f t="shared" si="28"/>
      </c>
      <c r="AZ40" s="71">
        <f t="shared" si="20"/>
        <v>-57.47496213562269</v>
      </c>
      <c r="BA40" s="73">
        <f t="shared" si="6"/>
        <v>78.92626326576463</v>
      </c>
      <c r="BB40" s="73">
        <f t="shared" si="21"/>
        <v>-11.140873108634239</v>
      </c>
      <c r="BC40" s="71">
        <f t="shared" si="7"/>
        <v>11.140873108634239</v>
      </c>
      <c r="BD40" s="71">
        <f t="shared" si="8"/>
        <v>5.364290858719134</v>
      </c>
      <c r="BE40" s="74">
        <f t="shared" si="9"/>
        <v>0</v>
      </c>
      <c r="BG40" s="14">
        <f t="shared" si="22"/>
        <v>78.92626326576463</v>
      </c>
      <c r="BH40" s="14">
        <f t="shared" si="10"/>
        <v>0</v>
      </c>
      <c r="BI40" s="14">
        <f t="shared" si="11"/>
        <v>0</v>
      </c>
      <c r="BJ40" s="14">
        <f t="shared" si="23"/>
        <v>1</v>
      </c>
      <c r="BK40" s="14">
        <f t="shared" si="12"/>
        <v>0</v>
      </c>
      <c r="BL40" s="14">
        <f t="shared" si="24"/>
        <v>1</v>
      </c>
      <c r="BM40" s="14">
        <f t="shared" si="25"/>
        <v>1</v>
      </c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</row>
    <row r="41" spans="1:107" ht="12.75">
      <c r="A41" s="239"/>
      <c r="B41" s="458" t="s">
        <v>102</v>
      </c>
      <c r="C41" s="65">
        <v>10</v>
      </c>
      <c r="D41" s="233">
        <f t="shared" si="13"/>
        <v>223</v>
      </c>
      <c r="E41" s="66">
        <v>18.5</v>
      </c>
      <c r="F41" s="66">
        <v>10.5</v>
      </c>
      <c r="G41" s="464">
        <f t="shared" si="0"/>
        <v>11.150395549083724</v>
      </c>
      <c r="H41" s="195">
        <f t="shared" si="26"/>
        <v>7.2486546704443935</v>
      </c>
      <c r="I41" s="73"/>
      <c r="J41" s="196" t="s">
        <v>18</v>
      </c>
      <c r="K41" s="196"/>
      <c r="L41" s="197">
        <f t="shared" si="14"/>
        <v>17.89709544559368</v>
      </c>
      <c r="M41" s="18"/>
      <c r="N41" s="124">
        <f t="shared" si="1"/>
        <v>15.056183025397418</v>
      </c>
      <c r="O41" s="124">
        <f t="shared" si="2"/>
        <v>83.62796661812793</v>
      </c>
      <c r="P41" s="124">
        <f t="shared" si="15"/>
        <v>11.150395549083724</v>
      </c>
      <c r="R41" s="18"/>
      <c r="S41" s="18"/>
      <c r="T41" s="18"/>
      <c r="U41" s="18"/>
      <c r="V41" s="18"/>
      <c r="W41" s="276"/>
      <c r="X41" s="69"/>
      <c r="Y41" s="239"/>
      <c r="Z41" s="68" t="str">
        <f t="shared" si="27"/>
        <v>A2</v>
      </c>
      <c r="AA41" s="69">
        <f t="shared" si="3"/>
        <v>-2.8620040137635847</v>
      </c>
      <c r="AB41" s="70">
        <f t="shared" si="4"/>
        <v>0</v>
      </c>
      <c r="AC41" s="244"/>
      <c r="AD41" s="244"/>
      <c r="AE41" s="244"/>
      <c r="AF41" s="244"/>
      <c r="AG41" s="244"/>
      <c r="AH41" s="244"/>
      <c r="AI41" s="244"/>
      <c r="AJ41" s="244"/>
      <c r="AK41" s="244"/>
      <c r="AL41" s="253"/>
      <c r="AM41" s="253"/>
      <c r="AN41" s="253"/>
      <c r="AT41" s="71">
        <f t="shared" si="5"/>
        <v>-7.397095445593681</v>
      </c>
      <c r="AU41" s="71">
        <f t="shared" si="16"/>
        <v>0</v>
      </c>
      <c r="AV41" s="71">
        <f t="shared" si="17"/>
        <v>-7.397095445593681</v>
      </c>
      <c r="AW41" s="71">
        <f t="shared" si="18"/>
        <v>0</v>
      </c>
      <c r="AX41" s="71">
        <f t="shared" si="19"/>
        <v>0</v>
      </c>
      <c r="AY41" s="72">
        <f t="shared" si="28"/>
      </c>
      <c r="AZ41" s="71">
        <f t="shared" si="20"/>
        <v>-64.87205758121637</v>
      </c>
      <c r="BA41" s="73">
        <f t="shared" si="6"/>
        <v>74.39117183393454</v>
      </c>
      <c r="BB41" s="73">
        <f t="shared" si="21"/>
        <v>-4.5350914318300966</v>
      </c>
      <c r="BC41" s="71">
        <f t="shared" si="7"/>
        <v>15.035091431830097</v>
      </c>
      <c r="BD41" s="71">
        <f t="shared" si="8"/>
        <v>2.8620040137635847</v>
      </c>
      <c r="BE41" s="74">
        <f t="shared" si="9"/>
        <v>0</v>
      </c>
      <c r="BG41" s="14">
        <f t="shared" si="22"/>
        <v>74.39117183393454</v>
      </c>
      <c r="BH41" s="14">
        <f t="shared" si="10"/>
        <v>0</v>
      </c>
      <c r="BI41" s="14">
        <f t="shared" si="11"/>
        <v>0</v>
      </c>
      <c r="BJ41" s="14">
        <f t="shared" si="23"/>
        <v>1</v>
      </c>
      <c r="BK41" s="14">
        <f t="shared" si="12"/>
        <v>0</v>
      </c>
      <c r="BL41" s="14">
        <f t="shared" si="24"/>
        <v>1</v>
      </c>
      <c r="BM41" s="14">
        <f t="shared" si="25"/>
        <v>1</v>
      </c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</row>
    <row r="42" spans="1:107" ht="12.75">
      <c r="A42" s="239"/>
      <c r="B42" s="458" t="s">
        <v>103</v>
      </c>
      <c r="C42" s="65">
        <v>11</v>
      </c>
      <c r="D42" s="233">
        <f t="shared" si="13"/>
        <v>233</v>
      </c>
      <c r="E42" s="66">
        <v>19.5</v>
      </c>
      <c r="F42" s="66">
        <v>19.2</v>
      </c>
      <c r="G42" s="464">
        <f t="shared" si="0"/>
        <v>11.343365597548393</v>
      </c>
      <c r="H42" s="195">
        <f t="shared" si="26"/>
        <v>7.850039011872852</v>
      </c>
      <c r="I42" s="73"/>
      <c r="J42" s="196" t="s">
        <v>18</v>
      </c>
      <c r="K42" s="196"/>
      <c r="L42" s="197">
        <f t="shared" si="14"/>
        <v>22.70886318439592</v>
      </c>
      <c r="M42" s="18"/>
      <c r="N42" s="124">
        <f t="shared" si="1"/>
        <v>11.754120525303442</v>
      </c>
      <c r="O42" s="124">
        <f t="shared" si="2"/>
        <v>85.07524198161295</v>
      </c>
      <c r="P42" s="124">
        <f t="shared" si="15"/>
        <v>11.343365597548393</v>
      </c>
      <c r="R42" s="18"/>
      <c r="S42" s="18"/>
      <c r="T42" s="18"/>
      <c r="U42" s="18"/>
      <c r="V42" s="18"/>
      <c r="W42" s="276"/>
      <c r="X42" s="69"/>
      <c r="Y42" s="239"/>
      <c r="Z42" s="68" t="str">
        <f t="shared" si="27"/>
        <v>A3</v>
      </c>
      <c r="AA42" s="69">
        <f t="shared" si="3"/>
        <v>-1.4496725191654036</v>
      </c>
      <c r="AB42" s="70">
        <f t="shared" si="4"/>
        <v>0</v>
      </c>
      <c r="AC42" s="244"/>
      <c r="AD42" s="244"/>
      <c r="AE42" s="244"/>
      <c r="AF42" s="244"/>
      <c r="AG42" s="244"/>
      <c r="AH42" s="244"/>
      <c r="AI42" s="244"/>
      <c r="AJ42" s="244"/>
      <c r="AK42" s="244"/>
      <c r="AL42" s="253"/>
      <c r="AM42" s="253"/>
      <c r="AN42" s="253"/>
      <c r="AT42" s="71">
        <f t="shared" si="5"/>
        <v>-3.5088631843959206</v>
      </c>
      <c r="AU42" s="71">
        <f t="shared" si="16"/>
        <v>0</v>
      </c>
      <c r="AV42" s="71">
        <f t="shared" si="17"/>
        <v>-3.5088631843959206</v>
      </c>
      <c r="AW42" s="71">
        <f t="shared" si="18"/>
        <v>0</v>
      </c>
      <c r="AX42" s="71">
        <f t="shared" si="19"/>
        <v>0</v>
      </c>
      <c r="AY42" s="72">
        <f t="shared" si="28"/>
      </c>
      <c r="AZ42" s="71">
        <f t="shared" si="20"/>
        <v>-68.38092076561229</v>
      </c>
      <c r="BA42" s="73">
        <f t="shared" si="6"/>
        <v>72.33198116870402</v>
      </c>
      <c r="BB42" s="73">
        <f t="shared" si="21"/>
        <v>-2.059190665230517</v>
      </c>
      <c r="BC42" s="71">
        <f t="shared" si="7"/>
        <v>21.259190665230516</v>
      </c>
      <c r="BD42" s="71">
        <f t="shared" si="8"/>
        <v>1.4496725191654036</v>
      </c>
      <c r="BE42" s="74">
        <f t="shared" si="9"/>
        <v>0</v>
      </c>
      <c r="BG42" s="14">
        <f t="shared" si="22"/>
        <v>72.33198116870402</v>
      </c>
      <c r="BH42" s="14">
        <f t="shared" si="10"/>
        <v>0</v>
      </c>
      <c r="BI42" s="14">
        <f t="shared" si="11"/>
        <v>0</v>
      </c>
      <c r="BJ42" s="14">
        <f t="shared" si="23"/>
        <v>1</v>
      </c>
      <c r="BK42" s="14">
        <f t="shared" si="12"/>
        <v>0</v>
      </c>
      <c r="BL42" s="14">
        <f t="shared" si="24"/>
        <v>1</v>
      </c>
      <c r="BM42" s="14">
        <f t="shared" si="25"/>
        <v>1</v>
      </c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</row>
    <row r="43" spans="1:107" ht="12.75">
      <c r="A43" s="239"/>
      <c r="B43" s="458" t="s">
        <v>104</v>
      </c>
      <c r="C43" s="65">
        <v>10</v>
      </c>
      <c r="D43" s="233">
        <f t="shared" si="13"/>
        <v>244</v>
      </c>
      <c r="E43" s="66">
        <v>20</v>
      </c>
      <c r="F43" s="66">
        <v>15</v>
      </c>
      <c r="G43" s="464">
        <f t="shared" si="0"/>
        <v>11.572247422177883</v>
      </c>
      <c r="H43" s="195">
        <f t="shared" si="26"/>
        <v>8.156781463985524</v>
      </c>
      <c r="I43" s="73"/>
      <c r="J43" s="196" t="s">
        <v>18</v>
      </c>
      <c r="K43" s="196"/>
      <c r="L43" s="197">
        <f t="shared" si="14"/>
        <v>22.372883933851277</v>
      </c>
      <c r="M43" s="18"/>
      <c r="N43" s="124">
        <f t="shared" si="1"/>
        <v>7.724628908165237</v>
      </c>
      <c r="O43" s="124">
        <f t="shared" si="2"/>
        <v>86.79185566633411</v>
      </c>
      <c r="P43" s="124">
        <f t="shared" si="15"/>
        <v>11.572247422177883</v>
      </c>
      <c r="R43" s="18"/>
      <c r="S43" s="18"/>
      <c r="T43" s="18"/>
      <c r="U43" s="18"/>
      <c r="V43" s="18"/>
      <c r="W43" s="276"/>
      <c r="X43" s="69"/>
      <c r="Y43" s="239"/>
      <c r="Z43" s="68" t="str">
        <f t="shared" si="27"/>
        <v>S1</v>
      </c>
      <c r="AA43" s="69">
        <f t="shared" si="3"/>
        <v>-3.229905369178816</v>
      </c>
      <c r="AB43" s="70">
        <f t="shared" si="4"/>
        <v>0</v>
      </c>
      <c r="AC43" s="244"/>
      <c r="AD43" s="244"/>
      <c r="AE43" s="244"/>
      <c r="AF43" s="244"/>
      <c r="AG43" s="244"/>
      <c r="AH43" s="244"/>
      <c r="AI43" s="244"/>
      <c r="AJ43" s="244"/>
      <c r="AK43" s="244"/>
      <c r="AL43" s="253"/>
      <c r="AM43" s="253"/>
      <c r="AN43" s="253"/>
      <c r="AT43" s="71">
        <f t="shared" si="5"/>
        <v>-7.372883933851277</v>
      </c>
      <c r="AU43" s="71">
        <f t="shared" si="16"/>
        <v>0</v>
      </c>
      <c r="AV43" s="71">
        <f t="shared" si="17"/>
        <v>-7.372883933851277</v>
      </c>
      <c r="AW43" s="71">
        <f t="shared" si="18"/>
        <v>0</v>
      </c>
      <c r="AX43" s="71">
        <f t="shared" si="19"/>
        <v>0</v>
      </c>
      <c r="AY43" s="72">
        <f t="shared" si="28"/>
      </c>
      <c r="AZ43" s="71">
        <f t="shared" si="20"/>
        <v>-75.75380469946356</v>
      </c>
      <c r="BA43" s="73">
        <f t="shared" si="6"/>
        <v>68.18900260403156</v>
      </c>
      <c r="BB43" s="73">
        <f t="shared" si="21"/>
        <v>-4.142978564672461</v>
      </c>
      <c r="BC43" s="71">
        <f t="shared" si="7"/>
        <v>19.14297856467246</v>
      </c>
      <c r="BD43" s="71">
        <f t="shared" si="8"/>
        <v>3.229905369178816</v>
      </c>
      <c r="BE43" s="74">
        <f t="shared" si="9"/>
        <v>0</v>
      </c>
      <c r="BG43" s="14">
        <f t="shared" si="22"/>
        <v>68.18900260403156</v>
      </c>
      <c r="BH43" s="14">
        <f t="shared" si="10"/>
        <v>0</v>
      </c>
      <c r="BI43" s="14">
        <f t="shared" si="11"/>
        <v>0</v>
      </c>
      <c r="BJ43" s="14">
        <f t="shared" si="23"/>
        <v>1</v>
      </c>
      <c r="BK43" s="14">
        <f t="shared" si="12"/>
        <v>0</v>
      </c>
      <c r="BL43" s="14">
        <f t="shared" si="24"/>
        <v>1</v>
      </c>
      <c r="BM43" s="14">
        <f t="shared" si="25"/>
        <v>1</v>
      </c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</row>
    <row r="44" spans="1:107" ht="12.75">
      <c r="A44" s="239"/>
      <c r="B44" s="458" t="s">
        <v>105</v>
      </c>
      <c r="C44" s="65">
        <v>10</v>
      </c>
      <c r="D44" s="233">
        <f t="shared" si="13"/>
        <v>254</v>
      </c>
      <c r="E44" s="66">
        <v>20.3</v>
      </c>
      <c r="F44" s="66">
        <v>25</v>
      </c>
      <c r="G44" s="464">
        <f t="shared" si="0"/>
        <v>11.789641634323305</v>
      </c>
      <c r="H44" s="195">
        <f t="shared" si="26"/>
        <v>8.342734347517355</v>
      </c>
      <c r="I44" s="73"/>
      <c r="J44" s="196" t="s">
        <v>18</v>
      </c>
      <c r="K44" s="196"/>
      <c r="L44" s="197">
        <f t="shared" si="14"/>
        <v>23.617712661039512</v>
      </c>
      <c r="M44" s="18"/>
      <c r="N44" s="124">
        <f t="shared" si="1"/>
        <v>3.8178244534082273</v>
      </c>
      <c r="O44" s="124">
        <f t="shared" si="2"/>
        <v>88.42231225742478</v>
      </c>
      <c r="P44" s="124">
        <f t="shared" si="15"/>
        <v>11.789641634323305</v>
      </c>
      <c r="R44" s="18"/>
      <c r="S44" s="18"/>
      <c r="T44" s="18"/>
      <c r="U44" s="18"/>
      <c r="V44" s="18"/>
      <c r="W44" s="276"/>
      <c r="X44" s="69"/>
      <c r="Y44" s="239"/>
      <c r="Z44" s="68" t="str">
        <f t="shared" si="27"/>
        <v>S2</v>
      </c>
      <c r="AA44" s="69">
        <f t="shared" si="3"/>
        <v>0</v>
      </c>
      <c r="AB44" s="70">
        <f t="shared" si="4"/>
        <v>0</v>
      </c>
      <c r="AC44" s="244"/>
      <c r="AD44" s="244"/>
      <c r="AE44" s="244"/>
      <c r="AF44" s="244"/>
      <c r="AG44" s="244"/>
      <c r="AH44" s="244"/>
      <c r="AI44" s="244"/>
      <c r="AJ44" s="244"/>
      <c r="AK44" s="244"/>
      <c r="AL44" s="253"/>
      <c r="AM44" s="253"/>
      <c r="AN44" s="253"/>
      <c r="AT44" s="71">
        <f t="shared" si="5"/>
        <v>1.382287338960488</v>
      </c>
      <c r="AU44" s="71">
        <f t="shared" si="16"/>
        <v>1.382287338960488</v>
      </c>
      <c r="AV44" s="71">
        <f t="shared" si="17"/>
        <v>0</v>
      </c>
      <c r="AW44" s="71">
        <f t="shared" si="18"/>
        <v>1.382287338960488</v>
      </c>
      <c r="AX44" s="71">
        <f t="shared" si="19"/>
        <v>1.382287338960488</v>
      </c>
      <c r="AY44" s="72">
        <f t="shared" si="28"/>
      </c>
      <c r="AZ44" s="71">
        <f t="shared" si="20"/>
        <v>-73.2452194853592</v>
      </c>
      <c r="BA44" s="73">
        <f t="shared" si="6"/>
        <v>69.57128994299205</v>
      </c>
      <c r="BB44" s="73">
        <f t="shared" si="21"/>
        <v>1.382287338960495</v>
      </c>
      <c r="BC44" s="71">
        <f t="shared" si="7"/>
        <v>23.617712661039512</v>
      </c>
      <c r="BD44" s="71">
        <f t="shared" si="8"/>
        <v>0</v>
      </c>
      <c r="BE44" s="74">
        <f t="shared" si="9"/>
        <v>0</v>
      </c>
      <c r="BG44" s="14">
        <f t="shared" si="22"/>
        <v>69.57128994299205</v>
      </c>
      <c r="BH44" s="14">
        <f t="shared" si="10"/>
        <v>0</v>
      </c>
      <c r="BI44" s="14">
        <f t="shared" si="11"/>
        <v>0</v>
      </c>
      <c r="BJ44" s="14">
        <f t="shared" si="23"/>
        <v>1</v>
      </c>
      <c r="BK44" s="14">
        <f t="shared" si="12"/>
        <v>0</v>
      </c>
      <c r="BL44" s="14">
        <f t="shared" si="24"/>
        <v>1</v>
      </c>
      <c r="BM44" s="14">
        <f t="shared" si="25"/>
        <v>1</v>
      </c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</row>
    <row r="45" spans="1:107" ht="12.75">
      <c r="A45" s="239"/>
      <c r="B45" s="458" t="s">
        <v>106</v>
      </c>
      <c r="C45" s="65">
        <v>10</v>
      </c>
      <c r="D45" s="233">
        <f t="shared" si="13"/>
        <v>264</v>
      </c>
      <c r="E45" s="66">
        <v>21</v>
      </c>
      <c r="F45" s="66">
        <v>21.6</v>
      </c>
      <c r="G45" s="464">
        <f t="shared" si="0"/>
        <v>12.011103041514469</v>
      </c>
      <c r="H45" s="195">
        <f t="shared" si="26"/>
        <v>8.782121184958326</v>
      </c>
      <c r="I45" s="73"/>
      <c r="J45" s="196" t="s">
        <v>18</v>
      </c>
      <c r="K45" s="196"/>
      <c r="L45" s="197">
        <f t="shared" si="14"/>
        <v>26.089225494854972</v>
      </c>
      <c r="M45" s="18"/>
      <c r="N45" s="124">
        <f t="shared" si="1"/>
        <v>-0.2018340770397338</v>
      </c>
      <c r="O45" s="124">
        <f t="shared" si="2"/>
        <v>90.08327281135851</v>
      </c>
      <c r="P45" s="124">
        <f t="shared" si="15"/>
        <v>12.011103041514469</v>
      </c>
      <c r="R45" s="18"/>
      <c r="S45" s="18"/>
      <c r="T45" s="18"/>
      <c r="U45" s="18"/>
      <c r="V45" s="18"/>
      <c r="W45" s="276"/>
      <c r="X45" s="69"/>
      <c r="Y45" s="239"/>
      <c r="Z45" s="68" t="str">
        <f t="shared" si="27"/>
        <v>S3</v>
      </c>
      <c r="AA45" s="69">
        <f t="shared" si="3"/>
        <v>-2.0349900755399446</v>
      </c>
      <c r="AB45" s="70">
        <f t="shared" si="4"/>
        <v>0</v>
      </c>
      <c r="AC45" s="244"/>
      <c r="AD45" s="244"/>
      <c r="AE45" s="244"/>
      <c r="AF45" s="244"/>
      <c r="AG45" s="244"/>
      <c r="AH45" s="244"/>
      <c r="AI45" s="244"/>
      <c r="AJ45" s="244"/>
      <c r="AK45" s="244"/>
      <c r="AL45" s="253"/>
      <c r="AM45" s="253"/>
      <c r="AN45" s="253"/>
      <c r="AT45" s="71">
        <f t="shared" si="5"/>
        <v>-4.489225494854971</v>
      </c>
      <c r="AU45" s="71">
        <f t="shared" si="16"/>
        <v>0</v>
      </c>
      <c r="AV45" s="71">
        <f t="shared" si="17"/>
        <v>-4.489225494854971</v>
      </c>
      <c r="AW45" s="71">
        <f t="shared" si="18"/>
        <v>0</v>
      </c>
      <c r="AX45" s="71">
        <f t="shared" si="19"/>
        <v>0</v>
      </c>
      <c r="AY45" s="72">
        <f t="shared" si="28"/>
      </c>
      <c r="AZ45" s="71">
        <f t="shared" si="20"/>
        <v>-77.73444498021416</v>
      </c>
      <c r="BA45" s="73">
        <f t="shared" si="6"/>
        <v>67.11705452367703</v>
      </c>
      <c r="BB45" s="73">
        <f t="shared" si="21"/>
        <v>-2.454235419315026</v>
      </c>
      <c r="BC45" s="71">
        <f t="shared" si="7"/>
        <v>24.054235419315027</v>
      </c>
      <c r="BD45" s="71">
        <f t="shared" si="8"/>
        <v>2.0349900755399446</v>
      </c>
      <c r="BE45" s="74">
        <f t="shared" si="9"/>
        <v>0</v>
      </c>
      <c r="BG45" s="14">
        <f t="shared" si="22"/>
        <v>67.11705452367703</v>
      </c>
      <c r="BH45" s="14">
        <f t="shared" si="10"/>
        <v>0</v>
      </c>
      <c r="BI45" s="14">
        <f t="shared" si="11"/>
        <v>0</v>
      </c>
      <c r="BJ45" s="14">
        <f t="shared" si="23"/>
        <v>1</v>
      </c>
      <c r="BK45" s="14">
        <f t="shared" si="12"/>
        <v>0</v>
      </c>
      <c r="BL45" s="14">
        <f t="shared" si="24"/>
        <v>1</v>
      </c>
      <c r="BM45" s="14">
        <f t="shared" si="25"/>
        <v>1</v>
      </c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</row>
    <row r="46" spans="1:107" ht="12.75">
      <c r="A46" s="239"/>
      <c r="B46" s="458" t="s">
        <v>107</v>
      </c>
      <c r="C46" s="65">
        <v>10</v>
      </c>
      <c r="D46" s="233">
        <f t="shared" si="13"/>
        <v>274</v>
      </c>
      <c r="E46" s="66">
        <v>21.5</v>
      </c>
      <c r="F46" s="66">
        <v>29.9</v>
      </c>
      <c r="G46" s="464">
        <f t="shared" si="0"/>
        <v>12.232353350531952</v>
      </c>
      <c r="H46" s="195">
        <f t="shared" si="26"/>
        <v>9.100625472177171</v>
      </c>
      <c r="I46" s="73"/>
      <c r="J46" s="196" t="s">
        <v>18</v>
      </c>
      <c r="K46" s="196"/>
      <c r="L46" s="197">
        <f t="shared" si="14"/>
        <v>28.104711611713384</v>
      </c>
      <c r="M46" s="18"/>
      <c r="N46" s="124">
        <f t="shared" si="1"/>
        <v>-4.2155264352644215</v>
      </c>
      <c r="O46" s="124">
        <f t="shared" si="2"/>
        <v>91.74265012898964</v>
      </c>
      <c r="P46" s="124">
        <f t="shared" si="15"/>
        <v>12.232353350531952</v>
      </c>
      <c r="R46" s="18"/>
      <c r="S46" s="18"/>
      <c r="T46" s="18"/>
      <c r="U46" s="18"/>
      <c r="V46" s="18"/>
      <c r="W46" s="276"/>
      <c r="X46" s="69"/>
      <c r="Y46" s="239"/>
      <c r="Z46" s="68" t="str">
        <f t="shared" si="27"/>
        <v>O1</v>
      </c>
      <c r="AA46" s="69">
        <f t="shared" si="3"/>
        <v>0</v>
      </c>
      <c r="AB46" s="70">
        <f t="shared" si="4"/>
        <v>0</v>
      </c>
      <c r="AC46" s="244"/>
      <c r="AD46" s="244"/>
      <c r="AE46" s="244"/>
      <c r="AF46" s="244"/>
      <c r="AG46" s="244"/>
      <c r="AH46" s="244"/>
      <c r="AI46" s="244"/>
      <c r="AJ46" s="244"/>
      <c r="AK46" s="244"/>
      <c r="AL46" s="253"/>
      <c r="AM46" s="253"/>
      <c r="AN46" s="253"/>
      <c r="AT46" s="71">
        <f t="shared" si="5"/>
        <v>1.7952883882866146</v>
      </c>
      <c r="AU46" s="71">
        <f t="shared" si="16"/>
        <v>1.7952883882866146</v>
      </c>
      <c r="AV46" s="71">
        <f t="shared" si="17"/>
        <v>0</v>
      </c>
      <c r="AW46" s="71">
        <f t="shared" si="18"/>
        <v>1.7952883882866146</v>
      </c>
      <c r="AX46" s="71">
        <f t="shared" si="19"/>
        <v>1.7952883882866146</v>
      </c>
      <c r="AY46" s="72">
        <f t="shared" si="28"/>
      </c>
      <c r="AZ46" s="71">
        <f t="shared" si="20"/>
        <v>-74.43480411475156</v>
      </c>
      <c r="BA46" s="73">
        <f t="shared" si="6"/>
        <v>68.91234291196363</v>
      </c>
      <c r="BB46" s="73">
        <f t="shared" si="21"/>
        <v>1.7952883882866075</v>
      </c>
      <c r="BC46" s="71">
        <f t="shared" si="7"/>
        <v>28.104711611713384</v>
      </c>
      <c r="BD46" s="71">
        <f t="shared" si="8"/>
        <v>0</v>
      </c>
      <c r="BE46" s="74">
        <f t="shared" si="9"/>
        <v>0</v>
      </c>
      <c r="BG46" s="14">
        <f t="shared" si="22"/>
        <v>68.91234291196363</v>
      </c>
      <c r="BH46" s="14">
        <f t="shared" si="10"/>
        <v>0</v>
      </c>
      <c r="BI46" s="14">
        <f t="shared" si="11"/>
        <v>0</v>
      </c>
      <c r="BJ46" s="14">
        <f t="shared" si="23"/>
        <v>1</v>
      </c>
      <c r="BK46" s="14">
        <f t="shared" si="12"/>
        <v>0</v>
      </c>
      <c r="BL46" s="14">
        <f t="shared" si="24"/>
        <v>1</v>
      </c>
      <c r="BM46" s="14">
        <f t="shared" si="25"/>
        <v>1</v>
      </c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</row>
    <row r="47" spans="1:107" ht="12.75">
      <c r="A47" s="239"/>
      <c r="B47" s="458" t="s">
        <v>108</v>
      </c>
      <c r="C47" s="65">
        <v>10</v>
      </c>
      <c r="D47" s="233">
        <f t="shared" si="13"/>
        <v>284</v>
      </c>
      <c r="E47" s="66">
        <v>22</v>
      </c>
      <c r="F47" s="66">
        <v>35.4</v>
      </c>
      <c r="G47" s="464">
        <f t="shared" si="0"/>
        <v>12.449094669742893</v>
      </c>
      <c r="H47" s="195">
        <f t="shared" si="26"/>
        <v>9.422960100602015</v>
      </c>
      <c r="I47" s="73"/>
      <c r="J47" s="196" t="s">
        <v>18</v>
      </c>
      <c r="K47" s="196"/>
      <c r="L47" s="197">
        <f t="shared" si="14"/>
        <v>30.21599835092624</v>
      </c>
      <c r="M47" s="18"/>
      <c r="N47" s="124">
        <f t="shared" si="1"/>
        <v>-8.104608732128694</v>
      </c>
      <c r="O47" s="124">
        <f t="shared" si="2"/>
        <v>93.3682100230717</v>
      </c>
      <c r="P47" s="124">
        <f t="shared" si="15"/>
        <v>12.449094669742893</v>
      </c>
      <c r="R47" s="18"/>
      <c r="S47" s="18"/>
      <c r="T47" s="18"/>
      <c r="U47" s="18"/>
      <c r="V47" s="18"/>
      <c r="W47" s="276"/>
      <c r="X47" s="69"/>
      <c r="Y47" s="239"/>
      <c r="Z47" s="68" t="str">
        <f t="shared" si="27"/>
        <v>O2</v>
      </c>
      <c r="AA47" s="69">
        <f t="shared" si="3"/>
        <v>0</v>
      </c>
      <c r="AB47" s="70">
        <f t="shared" si="4"/>
        <v>0</v>
      </c>
      <c r="AC47" s="244"/>
      <c r="AD47" s="244"/>
      <c r="AE47" s="244"/>
      <c r="AF47" s="244"/>
      <c r="AG47" s="244"/>
      <c r="AH47" s="244"/>
      <c r="AI47" s="244"/>
      <c r="AJ47" s="244"/>
      <c r="AK47" s="244"/>
      <c r="AL47" s="253"/>
      <c r="AM47" s="253"/>
      <c r="AN47" s="253"/>
      <c r="AT47" s="71">
        <f t="shared" si="5"/>
        <v>5.184001649073757</v>
      </c>
      <c r="AU47" s="71">
        <f t="shared" si="16"/>
        <v>5.184001649073757</v>
      </c>
      <c r="AV47" s="71">
        <f t="shared" si="17"/>
        <v>0</v>
      </c>
      <c r="AW47" s="71">
        <f t="shared" si="18"/>
        <v>6.9792900373603715</v>
      </c>
      <c r="AX47" s="71">
        <f t="shared" si="19"/>
        <v>6.9792900373603715</v>
      </c>
      <c r="AY47" s="72">
        <f t="shared" si="28"/>
      </c>
      <c r="AZ47" s="71">
        <f t="shared" si="20"/>
        <v>-65.36844217214635</v>
      </c>
      <c r="BA47" s="73">
        <f t="shared" si="6"/>
        <v>74.0963445610374</v>
      </c>
      <c r="BB47" s="73">
        <f t="shared" si="21"/>
        <v>5.184001649073764</v>
      </c>
      <c r="BC47" s="71">
        <f t="shared" si="7"/>
        <v>30.21599835092624</v>
      </c>
      <c r="BD47" s="71">
        <f t="shared" si="8"/>
        <v>0</v>
      </c>
      <c r="BE47" s="74">
        <f t="shared" si="9"/>
        <v>0</v>
      </c>
      <c r="BG47" s="14">
        <f t="shared" si="22"/>
        <v>74.0963445610374</v>
      </c>
      <c r="BH47" s="14">
        <f t="shared" si="10"/>
        <v>0</v>
      </c>
      <c r="BI47" s="14">
        <f t="shared" si="11"/>
        <v>0</v>
      </c>
      <c r="BJ47" s="14">
        <f t="shared" si="23"/>
        <v>1</v>
      </c>
      <c r="BK47" s="14">
        <f t="shared" si="12"/>
        <v>0</v>
      </c>
      <c r="BL47" s="14">
        <f t="shared" si="24"/>
        <v>1</v>
      </c>
      <c r="BM47" s="14">
        <f t="shared" si="25"/>
        <v>1</v>
      </c>
      <c r="CG47" s="256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</row>
    <row r="48" spans="1:107" ht="12.75">
      <c r="A48" s="239"/>
      <c r="B48" s="458" t="s">
        <v>109</v>
      </c>
      <c r="C48" s="65">
        <v>11</v>
      </c>
      <c r="D48" s="233">
        <f t="shared" si="13"/>
        <v>294</v>
      </c>
      <c r="E48" s="66">
        <v>23</v>
      </c>
      <c r="F48" s="66">
        <v>44.2</v>
      </c>
      <c r="G48" s="464">
        <f t="shared" si="0"/>
        <v>12.656634402451607</v>
      </c>
      <c r="H48" s="195">
        <f t="shared" si="26"/>
        <v>10.078951541481514</v>
      </c>
      <c r="I48" s="73"/>
      <c r="J48" s="196" t="s">
        <v>18</v>
      </c>
      <c r="K48" s="196"/>
      <c r="L48" s="197">
        <f t="shared" si="14"/>
        <v>37.57397232054313</v>
      </c>
      <c r="M48" s="18"/>
      <c r="N48" s="124">
        <f t="shared" si="1"/>
        <v>-11.754120525303437</v>
      </c>
      <c r="O48" s="124">
        <f t="shared" si="2"/>
        <v>94.92475801838705</v>
      </c>
      <c r="P48" s="124">
        <f t="shared" si="15"/>
        <v>12.656634402451607</v>
      </c>
      <c r="R48" s="18"/>
      <c r="S48" s="18"/>
      <c r="T48" s="18"/>
      <c r="U48" s="18"/>
      <c r="V48" s="18"/>
      <c r="W48" s="276"/>
      <c r="X48" s="69"/>
      <c r="Y48" s="239"/>
      <c r="Z48" s="68" t="str">
        <f t="shared" si="27"/>
        <v>O3</v>
      </c>
      <c r="AA48" s="69">
        <f t="shared" si="3"/>
        <v>0</v>
      </c>
      <c r="AB48" s="70">
        <f t="shared" si="4"/>
        <v>0</v>
      </c>
      <c r="AC48" s="244"/>
      <c r="AD48" s="244"/>
      <c r="AE48" s="244"/>
      <c r="AF48" s="244"/>
      <c r="AG48" s="244"/>
      <c r="AH48" s="244"/>
      <c r="AI48" s="244"/>
      <c r="AJ48" s="244"/>
      <c r="AK48" s="244"/>
      <c r="AL48" s="253"/>
      <c r="AM48" s="253"/>
      <c r="AN48" s="253"/>
      <c r="AT48" s="71">
        <f t="shared" si="5"/>
        <v>6.626027679456875</v>
      </c>
      <c r="AU48" s="71">
        <f t="shared" si="16"/>
        <v>6.626027679456875</v>
      </c>
      <c r="AV48" s="71">
        <f t="shared" si="17"/>
        <v>0</v>
      </c>
      <c r="AW48" s="71">
        <f t="shared" si="18"/>
        <v>13.605317716817247</v>
      </c>
      <c r="AX48" s="71">
        <f t="shared" si="19"/>
        <v>13.605317716817247</v>
      </c>
      <c r="AY48" s="72">
        <f t="shared" si="28"/>
      </c>
      <c r="AZ48" s="71">
        <f t="shared" si="20"/>
        <v>-54.66224664739865</v>
      </c>
      <c r="BA48" s="73">
        <f t="shared" si="6"/>
        <v>80.72237224049428</v>
      </c>
      <c r="BB48" s="73">
        <f t="shared" si="21"/>
        <v>6.626027679456882</v>
      </c>
      <c r="BC48" s="71">
        <f t="shared" si="7"/>
        <v>37.57397232054313</v>
      </c>
      <c r="BD48" s="71">
        <f t="shared" si="8"/>
        <v>0</v>
      </c>
      <c r="BE48" s="74">
        <f t="shared" si="9"/>
        <v>0</v>
      </c>
      <c r="BG48" s="14">
        <f t="shared" si="22"/>
        <v>80.72237224049428</v>
      </c>
      <c r="BH48" s="14">
        <f t="shared" si="10"/>
        <v>0</v>
      </c>
      <c r="BI48" s="14">
        <f t="shared" si="11"/>
        <v>0</v>
      </c>
      <c r="BJ48" s="14">
        <f t="shared" si="23"/>
        <v>1</v>
      </c>
      <c r="BK48" s="14">
        <f t="shared" si="12"/>
        <v>0</v>
      </c>
      <c r="BL48" s="14">
        <f t="shared" si="24"/>
        <v>1</v>
      </c>
      <c r="BM48" s="14">
        <f t="shared" si="25"/>
        <v>1</v>
      </c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</row>
    <row r="49" spans="1:107" ht="12.75">
      <c r="A49" s="239"/>
      <c r="B49" s="458" t="s">
        <v>110</v>
      </c>
      <c r="C49" s="65">
        <v>10</v>
      </c>
      <c r="D49" s="233">
        <f t="shared" si="13"/>
        <v>305</v>
      </c>
      <c r="E49" s="66">
        <v>23</v>
      </c>
      <c r="F49" s="66">
        <v>30</v>
      </c>
      <c r="G49" s="464">
        <f t="shared" si="0"/>
        <v>12.867870139008165</v>
      </c>
      <c r="H49" s="195">
        <f t="shared" si="26"/>
        <v>10.078951541481514</v>
      </c>
      <c r="I49" s="73"/>
      <c r="J49" s="196" t="s">
        <v>18</v>
      </c>
      <c r="K49" s="196"/>
      <c r="L49" s="197">
        <f t="shared" si="14"/>
        <v>34.728246866307686</v>
      </c>
      <c r="M49" s="18"/>
      <c r="N49" s="124">
        <f t="shared" si="1"/>
        <v>-15.363416576553035</v>
      </c>
      <c r="O49" s="124">
        <f t="shared" si="2"/>
        <v>96.50902604256123</v>
      </c>
      <c r="P49" s="124">
        <f t="shared" si="15"/>
        <v>12.867870139008165</v>
      </c>
      <c r="R49" s="18"/>
      <c r="S49" s="18"/>
      <c r="T49" s="18"/>
      <c r="U49" s="18"/>
      <c r="V49" s="18"/>
      <c r="W49" s="276"/>
      <c r="X49" s="69"/>
      <c r="Y49" s="239"/>
      <c r="Z49" s="68" t="str">
        <f t="shared" si="27"/>
        <v>N1</v>
      </c>
      <c r="AA49" s="69">
        <f t="shared" si="3"/>
        <v>-1.7318720964016023</v>
      </c>
      <c r="AB49" s="70">
        <f t="shared" si="4"/>
        <v>0</v>
      </c>
      <c r="AC49" s="244"/>
      <c r="AD49" s="244"/>
      <c r="AE49" s="244"/>
      <c r="AF49" s="244"/>
      <c r="AG49" s="244"/>
      <c r="AH49" s="244"/>
      <c r="AI49" s="244"/>
      <c r="AJ49" s="244"/>
      <c r="AK49" s="244"/>
      <c r="AL49" s="253"/>
      <c r="AM49" s="253"/>
      <c r="AN49" s="253"/>
      <c r="AT49" s="71">
        <f t="shared" si="5"/>
        <v>-4.7282468663076855</v>
      </c>
      <c r="AU49" s="71">
        <f t="shared" si="16"/>
        <v>0</v>
      </c>
      <c r="AV49" s="71">
        <f t="shared" si="17"/>
        <v>-4.7282468663076855</v>
      </c>
      <c r="AW49" s="71">
        <f t="shared" si="18"/>
        <v>0</v>
      </c>
      <c r="AX49" s="71">
        <f t="shared" si="19"/>
        <v>0</v>
      </c>
      <c r="AY49" s="72">
        <f t="shared" si="28"/>
      </c>
      <c r="AZ49" s="71">
        <f t="shared" si="20"/>
        <v>-59.39049351370634</v>
      </c>
      <c r="BA49" s="73">
        <f t="shared" si="6"/>
        <v>77.7259974705882</v>
      </c>
      <c r="BB49" s="73">
        <f t="shared" si="21"/>
        <v>-2.996374769906083</v>
      </c>
      <c r="BC49" s="71">
        <f t="shared" si="7"/>
        <v>32.99637476990608</v>
      </c>
      <c r="BD49" s="71">
        <f t="shared" si="8"/>
        <v>1.7318720964016023</v>
      </c>
      <c r="BE49" s="74">
        <f t="shared" si="9"/>
        <v>0</v>
      </c>
      <c r="BG49" s="14">
        <f t="shared" si="22"/>
        <v>77.7259974705882</v>
      </c>
      <c r="BH49" s="14">
        <f t="shared" si="10"/>
        <v>0</v>
      </c>
      <c r="BI49" s="14">
        <f t="shared" si="11"/>
        <v>0</v>
      </c>
      <c r="BJ49" s="14">
        <f t="shared" si="23"/>
        <v>1</v>
      </c>
      <c r="BK49" s="14">
        <f t="shared" si="12"/>
        <v>0</v>
      </c>
      <c r="BL49" s="14">
        <f t="shared" si="24"/>
        <v>1</v>
      </c>
      <c r="BM49" s="14">
        <f t="shared" si="25"/>
        <v>1</v>
      </c>
      <c r="CG49" s="256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</row>
    <row r="50" spans="1:107" ht="12.75">
      <c r="A50" s="239"/>
      <c r="B50" s="458" t="s">
        <v>111</v>
      </c>
      <c r="C50" s="65">
        <v>10</v>
      </c>
      <c r="D50" s="233">
        <f t="shared" si="13"/>
        <v>315</v>
      </c>
      <c r="E50" s="66">
        <v>22.5</v>
      </c>
      <c r="F50" s="66">
        <v>42.8</v>
      </c>
      <c r="G50" s="464">
        <f t="shared" si="0"/>
        <v>13.03770440822065</v>
      </c>
      <c r="H50" s="195">
        <f t="shared" si="26"/>
        <v>9.74908250683947</v>
      </c>
      <c r="I50" s="73"/>
      <c r="J50" s="196" t="s">
        <v>18</v>
      </c>
      <c r="K50" s="196"/>
      <c r="L50" s="197">
        <f t="shared" si="14"/>
        <v>33.3883393976679</v>
      </c>
      <c r="M50" s="18"/>
      <c r="N50" s="124">
        <f t="shared" si="1"/>
        <v>-18.1710307700571</v>
      </c>
      <c r="O50" s="124">
        <f t="shared" si="2"/>
        <v>97.78278306165487</v>
      </c>
      <c r="P50" s="124">
        <f t="shared" si="15"/>
        <v>13.03770440822065</v>
      </c>
      <c r="R50" s="18"/>
      <c r="S50" s="18"/>
      <c r="T50" s="18"/>
      <c r="U50" s="18"/>
      <c r="V50" s="18"/>
      <c r="W50" s="276"/>
      <c r="X50" s="69"/>
      <c r="Y50" s="239"/>
      <c r="Z50" s="68" t="str">
        <f t="shared" si="27"/>
        <v>N2</v>
      </c>
      <c r="AA50" s="69">
        <f t="shared" si="3"/>
        <v>0</v>
      </c>
      <c r="AB50" s="70">
        <f t="shared" si="4"/>
        <v>0</v>
      </c>
      <c r="AC50" s="244"/>
      <c r="AD50" s="244"/>
      <c r="AE50" s="244"/>
      <c r="AF50" s="244"/>
      <c r="AG50" s="244"/>
      <c r="AH50" s="244"/>
      <c r="AI50" s="244"/>
      <c r="AJ50" s="244"/>
      <c r="AK50" s="244"/>
      <c r="AL50" s="253"/>
      <c r="AM50" s="253"/>
      <c r="AN50" s="253"/>
      <c r="AT50" s="71">
        <f t="shared" si="5"/>
        <v>9.411660602332098</v>
      </c>
      <c r="AU50" s="71">
        <f t="shared" si="16"/>
        <v>9.411660602332098</v>
      </c>
      <c r="AV50" s="71">
        <f t="shared" si="17"/>
        <v>0</v>
      </c>
      <c r="AW50" s="71">
        <f t="shared" si="18"/>
        <v>9.411660602332098</v>
      </c>
      <c r="AX50" s="71">
        <f t="shared" si="19"/>
        <v>9.411660602332098</v>
      </c>
      <c r="AY50" s="72">
        <f t="shared" si="28"/>
      </c>
      <c r="AZ50" s="71">
        <f t="shared" si="20"/>
        <v>-45.10307405354561</v>
      </c>
      <c r="BA50" s="73">
        <f t="shared" si="6"/>
        <v>87.13765807292029</v>
      </c>
      <c r="BB50" s="73">
        <f t="shared" si="21"/>
        <v>9.411660602332091</v>
      </c>
      <c r="BC50" s="71">
        <f t="shared" si="7"/>
        <v>33.3883393976679</v>
      </c>
      <c r="BD50" s="71">
        <f t="shared" si="8"/>
        <v>0</v>
      </c>
      <c r="BE50" s="74">
        <f t="shared" si="9"/>
        <v>0</v>
      </c>
      <c r="BG50" s="14">
        <f t="shared" si="22"/>
        <v>87.13765807292029</v>
      </c>
      <c r="BH50" s="14">
        <f t="shared" si="10"/>
        <v>0</v>
      </c>
      <c r="BI50" s="14">
        <f t="shared" si="11"/>
        <v>0</v>
      </c>
      <c r="BJ50" s="14">
        <f t="shared" si="23"/>
        <v>1</v>
      </c>
      <c r="BK50" s="14">
        <f t="shared" si="12"/>
        <v>0</v>
      </c>
      <c r="BL50" s="14">
        <f t="shared" si="24"/>
        <v>1</v>
      </c>
      <c r="BM50" s="14">
        <f t="shared" si="25"/>
        <v>1</v>
      </c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</row>
    <row r="51" spans="1:107" ht="12.75">
      <c r="A51" s="239"/>
      <c r="B51" s="458" t="s">
        <v>112</v>
      </c>
      <c r="C51" s="65">
        <v>10</v>
      </c>
      <c r="D51" s="233">
        <f t="shared" si="13"/>
        <v>325</v>
      </c>
      <c r="E51" s="66">
        <v>23.5</v>
      </c>
      <c r="F51" s="66">
        <v>55.7</v>
      </c>
      <c r="G51" s="464">
        <f t="shared" si="0"/>
        <v>13.179449777658055</v>
      </c>
      <c r="H51" s="195">
        <f t="shared" si="26"/>
        <v>10.412527392231876</v>
      </c>
      <c r="I51" s="73"/>
      <c r="J51" s="196" t="s">
        <v>18</v>
      </c>
      <c r="K51" s="196"/>
      <c r="L51" s="197">
        <f t="shared" si="14"/>
        <v>37.442599040291796</v>
      </c>
      <c r="M51" s="18"/>
      <c r="N51" s="124">
        <f t="shared" si="1"/>
        <v>-20.441513173733593</v>
      </c>
      <c r="O51" s="124">
        <f t="shared" si="2"/>
        <v>98.84587333243542</v>
      </c>
      <c r="P51" s="124">
        <f t="shared" si="15"/>
        <v>13.179449777658055</v>
      </c>
      <c r="R51" s="18"/>
      <c r="S51" s="18"/>
      <c r="T51" s="18"/>
      <c r="U51" s="18"/>
      <c r="V51" s="18"/>
      <c r="W51" s="276"/>
      <c r="X51" s="69"/>
      <c r="Y51" s="239"/>
      <c r="Z51" s="68" t="str">
        <f t="shared" si="27"/>
        <v>N3</v>
      </c>
      <c r="AA51" s="69">
        <f t="shared" si="3"/>
        <v>0</v>
      </c>
      <c r="AB51" s="70">
        <f t="shared" si="4"/>
        <v>0</v>
      </c>
      <c r="AC51" s="244"/>
      <c r="AD51" s="244"/>
      <c r="AE51" s="244"/>
      <c r="AF51" s="244"/>
      <c r="AG51" s="244"/>
      <c r="AH51" s="244"/>
      <c r="AI51" s="244"/>
      <c r="AJ51" s="244"/>
      <c r="AK51" s="244"/>
      <c r="AL51" s="253"/>
      <c r="AM51" s="253"/>
      <c r="AN51" s="253"/>
      <c r="AT51" s="71">
        <f t="shared" si="5"/>
        <v>18.257400959708207</v>
      </c>
      <c r="AU51" s="71">
        <f t="shared" si="16"/>
        <v>18.257400959708207</v>
      </c>
      <c r="AV51" s="71">
        <f t="shared" si="17"/>
        <v>0</v>
      </c>
      <c r="AW51" s="71">
        <f t="shared" si="18"/>
        <v>27.669061562040305</v>
      </c>
      <c r="AX51" s="71">
        <f t="shared" si="19"/>
        <v>27.669061562040305</v>
      </c>
      <c r="AY51" s="72">
        <f t="shared" si="28"/>
      </c>
      <c r="AZ51" s="71">
        <f t="shared" si="20"/>
        <v>-21.324747567770633</v>
      </c>
      <c r="BA51" s="73">
        <f t="shared" si="6"/>
        <v>105.3950590326285</v>
      </c>
      <c r="BB51" s="73">
        <f t="shared" si="21"/>
        <v>18.257400959708207</v>
      </c>
      <c r="BC51" s="71">
        <f t="shared" si="7"/>
        <v>37.442599040291796</v>
      </c>
      <c r="BD51" s="71">
        <f t="shared" si="8"/>
        <v>0</v>
      </c>
      <c r="BE51" s="74">
        <f t="shared" si="9"/>
        <v>0</v>
      </c>
      <c r="BG51" s="14">
        <f t="shared" si="22"/>
        <v>105.3950590326285</v>
      </c>
      <c r="BH51" s="14">
        <f t="shared" si="10"/>
        <v>0</v>
      </c>
      <c r="BI51" s="14">
        <f t="shared" si="11"/>
        <v>0</v>
      </c>
      <c r="BJ51" s="14">
        <f t="shared" si="23"/>
        <v>1</v>
      </c>
      <c r="BK51" s="14">
        <f t="shared" si="12"/>
        <v>0</v>
      </c>
      <c r="BL51" s="14">
        <f t="shared" si="24"/>
        <v>1</v>
      </c>
      <c r="BM51" s="14">
        <f t="shared" si="25"/>
        <v>1</v>
      </c>
      <c r="CG51" s="256"/>
      <c r="CH51" s="256"/>
      <c r="CI51" s="256"/>
      <c r="CJ51" s="256"/>
      <c r="CK51" s="256"/>
      <c r="CL51" s="256"/>
      <c r="CM51" s="256"/>
      <c r="CN51" s="256"/>
      <c r="CO51" s="256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</row>
    <row r="52" spans="1:107" ht="12.75">
      <c r="A52" s="239"/>
      <c r="B52" s="458" t="s">
        <v>113</v>
      </c>
      <c r="C52" s="65">
        <v>10</v>
      </c>
      <c r="D52" s="233">
        <f t="shared" si="13"/>
        <v>335</v>
      </c>
      <c r="E52" s="66">
        <v>23.6</v>
      </c>
      <c r="F52" s="66">
        <v>50.8</v>
      </c>
      <c r="G52" s="464">
        <f t="shared" si="0"/>
        <v>13.286408662630377</v>
      </c>
      <c r="H52" s="195">
        <f t="shared" si="26"/>
        <v>10.479683966716747</v>
      </c>
      <c r="I52" s="73"/>
      <c r="J52" s="196" t="s">
        <v>18</v>
      </c>
      <c r="K52" s="196"/>
      <c r="L52" s="197">
        <f t="shared" si="14"/>
        <v>38.1309704340682</v>
      </c>
      <c r="M52" s="18"/>
      <c r="N52" s="124">
        <f t="shared" si="1"/>
        <v>-22.107748812505363</v>
      </c>
      <c r="O52" s="124">
        <f t="shared" si="2"/>
        <v>99.64806496972783</v>
      </c>
      <c r="P52" s="124">
        <f t="shared" si="15"/>
        <v>13.286408662630377</v>
      </c>
      <c r="R52" s="18"/>
      <c r="S52" s="18"/>
      <c r="T52" s="18"/>
      <c r="U52" s="18"/>
      <c r="V52" s="18"/>
      <c r="W52" s="276"/>
      <c r="X52" s="69"/>
      <c r="Y52" s="239"/>
      <c r="Z52" s="68" t="str">
        <f t="shared" si="27"/>
        <v>D1</v>
      </c>
      <c r="AA52" s="69">
        <f t="shared" si="3"/>
        <v>0</v>
      </c>
      <c r="AB52" s="70">
        <f t="shared" si="4"/>
        <v>0</v>
      </c>
      <c r="AC52" s="244"/>
      <c r="AD52" s="244"/>
      <c r="AE52" s="244"/>
      <c r="AF52" s="244"/>
      <c r="AG52" s="244"/>
      <c r="AH52" s="244"/>
      <c r="AI52" s="244"/>
      <c r="AJ52" s="244"/>
      <c r="AK52" s="244"/>
      <c r="AL52" s="253"/>
      <c r="AM52" s="253"/>
      <c r="AN52" s="253"/>
      <c r="AT52" s="71">
        <f t="shared" si="5"/>
        <v>12.669029565931794</v>
      </c>
      <c r="AU52" s="71">
        <f>IF(AT52&gt;=0,AT52,0)</f>
        <v>12.669029565931794</v>
      </c>
      <c r="AV52" s="71">
        <f>IF(AT52&lt;0,AT52,0)</f>
        <v>0</v>
      </c>
      <c r="AW52" s="71">
        <f t="shared" si="18"/>
        <v>40.3380911279721</v>
      </c>
      <c r="AX52" s="71">
        <f t="shared" si="19"/>
        <v>40.3380911279721</v>
      </c>
      <c r="AY52" s="72">
        <f t="shared" si="28"/>
      </c>
      <c r="AZ52" s="71">
        <f t="shared" si="20"/>
        <v>-7.135767069790881</v>
      </c>
      <c r="BA52" s="73">
        <f t="shared" si="6"/>
        <v>118.06408859856029</v>
      </c>
      <c r="BB52" s="73">
        <f t="shared" si="21"/>
        <v>12.669029565931794</v>
      </c>
      <c r="BC52" s="71">
        <f t="shared" si="7"/>
        <v>38.1309704340682</v>
      </c>
      <c r="BD52" s="71">
        <f t="shared" si="8"/>
        <v>0</v>
      </c>
      <c r="BE52" s="74">
        <f t="shared" si="9"/>
        <v>0</v>
      </c>
      <c r="BG52" s="14">
        <f t="shared" si="22"/>
        <v>118.06408859856029</v>
      </c>
      <c r="BH52" s="14">
        <f t="shared" si="10"/>
        <v>0</v>
      </c>
      <c r="BI52" s="14">
        <f t="shared" si="11"/>
        <v>0</v>
      </c>
      <c r="BJ52" s="14">
        <f t="shared" si="23"/>
        <v>1</v>
      </c>
      <c r="BK52" s="14">
        <f t="shared" si="12"/>
        <v>0</v>
      </c>
      <c r="BL52" s="14">
        <f t="shared" si="24"/>
        <v>1</v>
      </c>
      <c r="BM52" s="14">
        <f t="shared" si="25"/>
        <v>1</v>
      </c>
      <c r="CG52" s="256"/>
      <c r="CH52" s="256"/>
      <c r="CI52" s="256"/>
      <c r="CJ52" s="256"/>
      <c r="CK52" s="256"/>
      <c r="CL52" s="256"/>
      <c r="CM52" s="256"/>
      <c r="CN52" s="256"/>
      <c r="CO52" s="256"/>
      <c r="CP52" s="256"/>
      <c r="CQ52" s="256"/>
      <c r="CR52" s="256"/>
      <c r="CS52" s="256"/>
      <c r="CT52" s="256"/>
      <c r="CU52" s="256"/>
      <c r="CV52" s="256"/>
      <c r="CW52" s="256"/>
      <c r="CX52" s="256"/>
      <c r="CY52" s="256"/>
      <c r="CZ52" s="256"/>
      <c r="DA52" s="256"/>
      <c r="DB52" s="256"/>
      <c r="DC52" s="256"/>
    </row>
    <row r="53" spans="1:107" ht="12.75">
      <c r="A53" s="239"/>
      <c r="B53" s="458" t="s">
        <v>114</v>
      </c>
      <c r="C53" s="65">
        <v>10</v>
      </c>
      <c r="D53" s="233">
        <f t="shared" si="13"/>
        <v>345</v>
      </c>
      <c r="E53" s="66">
        <v>23.8</v>
      </c>
      <c r="F53" s="66">
        <v>58</v>
      </c>
      <c r="G53" s="464">
        <f t="shared" si="0"/>
        <v>13.352776775105346</v>
      </c>
      <c r="H53" s="195">
        <f t="shared" si="26"/>
        <v>10.614436088488544</v>
      </c>
      <c r="I53" s="73"/>
      <c r="J53" s="196" t="s">
        <v>18</v>
      </c>
      <c r="K53" s="196"/>
      <c r="L53" s="197">
        <f t="shared" si="14"/>
        <v>39.10112491911489</v>
      </c>
      <c r="M53" s="18"/>
      <c r="N53" s="124">
        <f t="shared" si="1"/>
        <v>-23.12048411665182</v>
      </c>
      <c r="O53" s="124">
        <f t="shared" si="2"/>
        <v>100.14582581329009</v>
      </c>
      <c r="P53" s="124">
        <f t="shared" si="15"/>
        <v>13.352776775105346</v>
      </c>
      <c r="R53" s="18"/>
      <c r="S53" s="18"/>
      <c r="T53" s="18"/>
      <c r="U53" s="18"/>
      <c r="V53" s="18"/>
      <c r="W53" s="276"/>
      <c r="X53" s="69"/>
      <c r="Y53" s="239"/>
      <c r="Z53" s="68" t="str">
        <f t="shared" si="27"/>
        <v>D2</v>
      </c>
      <c r="AA53" s="69">
        <f t="shared" si="3"/>
        <v>0</v>
      </c>
      <c r="AB53" s="70">
        <f t="shared" si="4"/>
        <v>11.962963679445402</v>
      </c>
      <c r="AC53" s="244"/>
      <c r="AD53" s="244"/>
      <c r="AE53" s="244"/>
      <c r="AF53" s="244"/>
      <c r="AG53" s="244"/>
      <c r="AH53" s="244"/>
      <c r="AI53" s="244"/>
      <c r="AJ53" s="244"/>
      <c r="AK53" s="244"/>
      <c r="AL53" s="253"/>
      <c r="AM53" s="253"/>
      <c r="AN53" s="253"/>
      <c r="AT53" s="71">
        <f t="shared" si="5"/>
        <v>18.898875080885112</v>
      </c>
      <c r="AU53" s="71">
        <f>IF(AT53&gt;=0,AT53,0)</f>
        <v>18.898875080885112</v>
      </c>
      <c r="AV53" s="71">
        <f>IF(AT53&lt;0,AT53,0)</f>
        <v>0</v>
      </c>
      <c r="AW53" s="71">
        <f t="shared" si="18"/>
        <v>59.23696620885721</v>
      </c>
      <c r="AX53" s="71">
        <f t="shared" si="19"/>
        <v>59.23696620885721</v>
      </c>
      <c r="AY53" s="72">
        <f>IF(AND(BM52=0,BM53=1),$BJ$14,"")</f>
      </c>
      <c r="AZ53" s="71">
        <f t="shared" si="20"/>
        <v>0</v>
      </c>
      <c r="BA53" s="73">
        <f t="shared" si="6"/>
        <v>125</v>
      </c>
      <c r="BB53" s="73">
        <f t="shared" si="21"/>
        <v>6.935911401439711</v>
      </c>
      <c r="BC53" s="71">
        <f t="shared" si="7"/>
        <v>39.10112491911489</v>
      </c>
      <c r="BD53" s="71">
        <f t="shared" si="8"/>
        <v>0</v>
      </c>
      <c r="BE53" s="74">
        <f t="shared" si="9"/>
        <v>11.962963679445402</v>
      </c>
      <c r="BG53" s="14">
        <f t="shared" si="22"/>
        <v>136.9629636794454</v>
      </c>
      <c r="BH53" s="14">
        <f t="shared" si="10"/>
        <v>0</v>
      </c>
      <c r="BI53" s="14">
        <f t="shared" si="11"/>
        <v>0</v>
      </c>
      <c r="BJ53" s="14">
        <f t="shared" si="23"/>
        <v>1</v>
      </c>
      <c r="BK53" s="14">
        <f t="shared" si="12"/>
        <v>0</v>
      </c>
      <c r="BL53" s="14">
        <f t="shared" si="24"/>
        <v>1</v>
      </c>
      <c r="BM53" s="14">
        <f t="shared" si="25"/>
        <v>1</v>
      </c>
      <c r="CG53" s="256"/>
      <c r="CH53" s="256"/>
      <c r="CI53" s="256"/>
      <c r="CJ53" s="256"/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</row>
    <row r="54" spans="1:107" ht="13.5" customHeight="1" thickBot="1">
      <c r="A54" s="239"/>
      <c r="B54" s="458" t="s">
        <v>115</v>
      </c>
      <c r="C54" s="65">
        <v>11</v>
      </c>
      <c r="D54" s="233">
        <f t="shared" si="13"/>
        <v>355</v>
      </c>
      <c r="E54" s="66">
        <v>24</v>
      </c>
      <c r="F54" s="66">
        <v>90.5</v>
      </c>
      <c r="G54" s="464">
        <f t="shared" si="0"/>
        <v>13.374593485546477</v>
      </c>
      <c r="H54" s="195">
        <f>(0.2*E54)^1.514</f>
        <v>10.74977151276806</v>
      </c>
      <c r="I54" s="73"/>
      <c r="J54" s="196" t="s">
        <v>18</v>
      </c>
      <c r="K54" s="196"/>
      <c r="L54" s="197">
        <f t="shared" si="14"/>
        <v>43.95063453184112</v>
      </c>
      <c r="M54" s="18"/>
      <c r="N54" s="124">
        <f t="shared" si="1"/>
        <v>-23.449782846813658</v>
      </c>
      <c r="O54" s="124">
        <f t="shared" si="2"/>
        <v>100.30945114159857</v>
      </c>
      <c r="P54" s="124">
        <f t="shared" si="15"/>
        <v>13.374593485546477</v>
      </c>
      <c r="R54" s="18"/>
      <c r="S54" s="18"/>
      <c r="T54" s="18"/>
      <c r="U54" s="18"/>
      <c r="V54" s="18"/>
      <c r="W54" s="276"/>
      <c r="X54" s="69"/>
      <c r="Y54" s="239"/>
      <c r="Z54" s="75" t="str">
        <f t="shared" si="27"/>
        <v>D3</v>
      </c>
      <c r="AA54" s="76">
        <f t="shared" si="3"/>
        <v>0</v>
      </c>
      <c r="AB54" s="77">
        <f t="shared" si="4"/>
        <v>46.54936546815888</v>
      </c>
      <c r="AC54" s="244"/>
      <c r="AD54" s="244"/>
      <c r="AE54" s="244"/>
      <c r="AF54" s="244"/>
      <c r="AG54" s="244"/>
      <c r="AH54" s="244"/>
      <c r="AI54" s="244"/>
      <c r="AJ54" s="244"/>
      <c r="AK54" s="244"/>
      <c r="AL54" s="253"/>
      <c r="AM54" s="253"/>
      <c r="AN54" s="253"/>
      <c r="AT54" s="78">
        <f t="shared" si="5"/>
        <v>46.54936546815888</v>
      </c>
      <c r="AU54" s="71">
        <f>IF(AT54&gt;=0,AT54,0)</f>
        <v>46.54936546815888</v>
      </c>
      <c r="AV54" s="71">
        <f>IF(AT54&lt;0,AT54,0)</f>
        <v>0</v>
      </c>
      <c r="AW54" s="71">
        <f t="shared" si="18"/>
        <v>105.7863316770161</v>
      </c>
      <c r="AX54" s="78">
        <f t="shared" si="19"/>
        <v>105.7863316770161</v>
      </c>
      <c r="AY54" s="72">
        <f>IF(AND(BM53=0,BM54=1),$BJ$14,"")</f>
      </c>
      <c r="AZ54" s="71">
        <f t="shared" si="20"/>
        <v>0</v>
      </c>
      <c r="BA54" s="73">
        <f t="shared" si="6"/>
        <v>125</v>
      </c>
      <c r="BB54" s="73">
        <f t="shared" si="21"/>
        <v>0</v>
      </c>
      <c r="BC54" s="78">
        <f t="shared" si="7"/>
        <v>43.95063453184112</v>
      </c>
      <c r="BD54" s="78">
        <f t="shared" si="8"/>
        <v>0</v>
      </c>
      <c r="BE54" s="79">
        <f t="shared" si="9"/>
        <v>46.54936546815888</v>
      </c>
      <c r="BG54" s="14">
        <f t="shared" si="22"/>
        <v>183.5123291476043</v>
      </c>
      <c r="BH54" s="14">
        <f t="shared" si="10"/>
        <v>0</v>
      </c>
      <c r="BI54" s="14">
        <f t="shared" si="11"/>
        <v>0</v>
      </c>
      <c r="BJ54" s="14">
        <f t="shared" si="23"/>
        <v>1</v>
      </c>
      <c r="BK54" s="14">
        <f t="shared" si="12"/>
        <v>0</v>
      </c>
      <c r="BL54" s="14">
        <f t="shared" si="24"/>
        <v>1</v>
      </c>
      <c r="BM54" s="14">
        <f t="shared" si="25"/>
        <v>1</v>
      </c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</row>
    <row r="55" spans="1:107" ht="13.5" customHeight="1" thickTop="1">
      <c r="A55" s="239"/>
      <c r="B55" s="285"/>
      <c r="C55" s="285"/>
      <c r="D55" s="285"/>
      <c r="E55" s="285"/>
      <c r="F55" s="285"/>
      <c r="G55" s="80"/>
      <c r="H55" s="285"/>
      <c r="I55" s="285"/>
      <c r="J55" s="285"/>
      <c r="K55" s="285"/>
      <c r="L55" s="285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69"/>
      <c r="X55" s="69"/>
      <c r="Y55" s="239"/>
      <c r="Z55" s="245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53"/>
      <c r="AM55" s="253"/>
      <c r="AN55" s="253"/>
      <c r="AO55" s="13"/>
      <c r="AT55" s="1" t="s">
        <v>72</v>
      </c>
      <c r="AU55" s="1">
        <f>SUM(AV19:AV54)/$BX$13</f>
        <v>-0.9480804479062385</v>
      </c>
      <c r="AW55" s="13"/>
      <c r="AX55" s="13"/>
      <c r="AY55" s="13"/>
      <c r="AZ55" s="13"/>
      <c r="BA55" s="13"/>
      <c r="BB55" s="13"/>
      <c r="BG55" s="14"/>
      <c r="BI55" s="14"/>
      <c r="BJ55" s="14"/>
      <c r="BK55" s="14"/>
      <c r="BL55" s="14"/>
      <c r="BM55" s="14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6"/>
      <c r="DB55" s="256"/>
      <c r="DC55" s="256"/>
    </row>
    <row r="56" spans="1:107" s="1" customFormat="1" ht="13.5" customHeight="1" thickBot="1">
      <c r="A56" s="239"/>
      <c r="B56" s="239"/>
      <c r="C56" s="239"/>
      <c r="D56" s="239"/>
      <c r="E56" s="239"/>
      <c r="F56" s="239"/>
      <c r="G56" s="375" t="s">
        <v>60</v>
      </c>
      <c r="H56" s="376">
        <f>SUM(AVERAGE(H19:H21)+AVERAGE(H22:H24)+AVERAGE(H25:H27)+AVERAGE(H28:H30)+AVERAGE(H31:H33)+AVERAGE(H34:H36)+AVERAGE(H37:H39)+AVERAGE(H40:H42)+AVERAGE(H43:H45)+AVERAGE(H46:H48)+AVERAGE(H49:H51)+AVERAGE(H52:H54))</f>
        <v>108.02380158220154</v>
      </c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69" t="s">
        <v>18</v>
      </c>
      <c r="X56" s="69" t="s">
        <v>116</v>
      </c>
      <c r="Y56" s="239" t="s">
        <v>18</v>
      </c>
      <c r="Z56" s="245" t="s">
        <v>18</v>
      </c>
      <c r="AA56" s="244" t="s">
        <v>18</v>
      </c>
      <c r="AB56" s="244" t="s">
        <v>18</v>
      </c>
      <c r="AC56" s="244" t="s">
        <v>18</v>
      </c>
      <c r="AD56" s="244" t="s">
        <v>18</v>
      </c>
      <c r="AE56" s="244" t="s">
        <v>18</v>
      </c>
      <c r="AF56" s="244" t="s">
        <v>18</v>
      </c>
      <c r="AG56" s="244" t="s">
        <v>18</v>
      </c>
      <c r="AH56" s="244" t="s">
        <v>18</v>
      </c>
      <c r="AI56" s="244" t="s">
        <v>18</v>
      </c>
      <c r="AJ56" s="244" t="s">
        <v>18</v>
      </c>
      <c r="AK56" s="244" t="s">
        <v>18</v>
      </c>
      <c r="AL56" s="253" t="s">
        <v>18</v>
      </c>
      <c r="AM56" s="253" t="s">
        <v>18</v>
      </c>
      <c r="AN56" s="253" t="s">
        <v>18</v>
      </c>
      <c r="AO56" s="13" t="s">
        <v>18</v>
      </c>
      <c r="AP56" s="1" t="s">
        <v>18</v>
      </c>
      <c r="AT56" s="1" t="s">
        <v>73</v>
      </c>
      <c r="AU56" s="1">
        <f>SUM(AU19:AU54)/$BX$13</f>
        <v>2.8023382609343637</v>
      </c>
      <c r="AW56" s="13"/>
      <c r="AX56" s="13"/>
      <c r="AY56" s="13"/>
      <c r="AZ56" s="13"/>
      <c r="BA56" s="13"/>
      <c r="BB56" s="13"/>
      <c r="BG56" s="14"/>
      <c r="BH56" s="6"/>
      <c r="BI56" s="14"/>
      <c r="BJ56" s="14">
        <f>SUM(BJ19:BJ54)</f>
        <v>32</v>
      </c>
      <c r="BK56" s="14"/>
      <c r="BL56" s="14">
        <f>SUM(BL19:BL54)</f>
        <v>32</v>
      </c>
      <c r="BM56" s="14"/>
      <c r="BN56" s="16">
        <f>LARGE(AX19:AX54,1)</f>
        <v>262.9106793902149</v>
      </c>
      <c r="BO56" s="16">
        <f>SUM(AY19:AY54)</f>
        <v>0</v>
      </c>
      <c r="BP56" s="16"/>
      <c r="BQ56" s="16"/>
      <c r="BR56" s="16"/>
      <c r="BS56" s="16"/>
      <c r="BT56" s="16"/>
      <c r="BU56" s="16"/>
      <c r="BV56" s="16"/>
      <c r="BW56" s="16" t="s">
        <v>18</v>
      </c>
      <c r="BX56" s="16"/>
      <c r="BY56" s="24"/>
      <c r="BZ56" s="24" t="s">
        <v>18</v>
      </c>
      <c r="CA56" s="16"/>
      <c r="CB56" s="16"/>
      <c r="CC56" s="81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</row>
    <row r="57" spans="1:107" s="1" customFormat="1" ht="13.5" customHeight="1">
      <c r="A57" s="239"/>
      <c r="B57" s="239"/>
      <c r="C57" s="239"/>
      <c r="D57" s="239"/>
      <c r="E57" s="239" t="s">
        <v>18</v>
      </c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69"/>
      <c r="X57" s="69"/>
      <c r="Y57" s="239"/>
      <c r="Z57" s="245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53"/>
      <c r="AM57" s="253"/>
      <c r="AN57" s="253"/>
      <c r="AO57" s="13"/>
      <c r="AT57" s="82" t="s">
        <v>117</v>
      </c>
      <c r="AU57" s="1">
        <f>1-EXP(AU55)</f>
        <v>0.6125158940395616</v>
      </c>
      <c r="AW57" s="11"/>
      <c r="AX57" s="11"/>
      <c r="AY57" s="11"/>
      <c r="AZ57" s="10"/>
      <c r="BA57" s="9"/>
      <c r="BB57" s="9"/>
      <c r="BC57" s="33" t="s">
        <v>34</v>
      </c>
      <c r="BD57" s="33" t="s">
        <v>35</v>
      </c>
      <c r="BG57" s="14"/>
      <c r="BH57" s="6"/>
      <c r="BI57" s="14"/>
      <c r="BJ57" s="14"/>
      <c r="BK57" s="14"/>
      <c r="BL57" s="14"/>
      <c r="BM57" s="14"/>
      <c r="BN57" s="6"/>
      <c r="BO57" s="14"/>
      <c r="BP57" s="16"/>
      <c r="BQ57" s="16"/>
      <c r="BR57" s="16"/>
      <c r="BS57" s="16"/>
      <c r="BT57" s="16"/>
      <c r="BU57" s="16"/>
      <c r="BV57" s="6"/>
      <c r="BW57" s="6"/>
      <c r="BX57" s="16"/>
      <c r="BY57" s="24"/>
      <c r="BZ57" s="24"/>
      <c r="CA57" s="16"/>
      <c r="CB57" s="16"/>
      <c r="CC57" s="81"/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39"/>
      <c r="CS57" s="239"/>
      <c r="CT57" s="239"/>
      <c r="CU57" s="239"/>
      <c r="CV57" s="239"/>
      <c r="CW57" s="239"/>
      <c r="CX57" s="239"/>
      <c r="CY57" s="239"/>
      <c r="CZ57" s="239"/>
      <c r="DA57" s="239"/>
      <c r="DB57" s="239"/>
      <c r="DC57" s="239"/>
    </row>
    <row r="58" spans="1:107" s="1" customFormat="1" ht="13.5" customHeight="1" thickBot="1">
      <c r="A58" s="239"/>
      <c r="B58" s="83" t="s">
        <v>74</v>
      </c>
      <c r="C58" s="84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3"/>
      <c r="S58" s="73"/>
      <c r="T58" s="71"/>
      <c r="U58" s="71"/>
      <c r="V58" s="71"/>
      <c r="W58" s="69"/>
      <c r="X58" s="69"/>
      <c r="Y58" s="239"/>
      <c r="Z58" s="245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53"/>
      <c r="AM58" s="253"/>
      <c r="AN58" s="253"/>
      <c r="AO58" s="13"/>
      <c r="AW58" s="13"/>
      <c r="AX58" s="13"/>
      <c r="AY58" s="13"/>
      <c r="AZ58" s="13"/>
      <c r="BA58" s="13"/>
      <c r="BB58" s="13"/>
      <c r="BC58" s="50" t="s">
        <v>91</v>
      </c>
      <c r="BD58" s="50" t="s">
        <v>91</v>
      </c>
      <c r="BG58" s="14"/>
      <c r="BH58" s="6"/>
      <c r="BI58" s="14"/>
      <c r="BJ58" s="14"/>
      <c r="BK58" s="14"/>
      <c r="BL58" s="14"/>
      <c r="BM58" s="14"/>
      <c r="BN58" s="6"/>
      <c r="BO58" s="14"/>
      <c r="BP58" s="16"/>
      <c r="BQ58" s="16"/>
      <c r="BR58" s="16"/>
      <c r="BS58" s="16"/>
      <c r="BT58" s="16"/>
      <c r="BU58" s="16"/>
      <c r="BV58" s="16" t="s">
        <v>18</v>
      </c>
      <c r="BW58" s="16"/>
      <c r="BX58" s="16"/>
      <c r="BY58" s="24"/>
      <c r="BZ58" s="24">
        <f>ABS(CB58)</f>
        <v>9.88</v>
      </c>
      <c r="CA58" s="16"/>
      <c r="CB58" s="16">
        <v>-9.88</v>
      </c>
      <c r="CC58" s="81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</row>
    <row r="59" spans="1:107" s="86" customFormat="1" ht="13.5" customHeight="1">
      <c r="A59" s="243"/>
      <c r="B59" s="87" t="s">
        <v>25</v>
      </c>
      <c r="C59" s="215" t="str">
        <f aca="true" t="shared" si="29" ref="C59:D62">C16</f>
        <v>Num</v>
      </c>
      <c r="D59" s="215" t="str">
        <f t="shared" si="29"/>
        <v>NDA</v>
      </c>
      <c r="E59" s="215" t="str">
        <f>E16</f>
        <v>T</v>
      </c>
      <c r="F59" s="215" t="str">
        <f>F16</f>
        <v>P</v>
      </c>
      <c r="G59" s="215" t="str">
        <f>G16</f>
        <v>N</v>
      </c>
      <c r="H59" s="33" t="s">
        <v>32</v>
      </c>
      <c r="I59" s="33" t="s">
        <v>33</v>
      </c>
      <c r="J59" s="215"/>
      <c r="K59" s="88"/>
      <c r="L59" s="33" t="s">
        <v>37</v>
      </c>
      <c r="M59" s="37" t="s">
        <v>38</v>
      </c>
      <c r="N59" s="38" t="s">
        <v>39</v>
      </c>
      <c r="O59" s="33" t="s">
        <v>40</v>
      </c>
      <c r="P59" s="33" t="s">
        <v>41</v>
      </c>
      <c r="Q59" s="34" t="s">
        <v>42</v>
      </c>
      <c r="R59" s="243"/>
      <c r="S59" s="243"/>
      <c r="T59" s="243"/>
      <c r="U59" s="239"/>
      <c r="V59" s="239"/>
      <c r="W59" s="277"/>
      <c r="X59" s="277"/>
      <c r="Y59" s="243"/>
      <c r="Z59" s="278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92"/>
      <c r="AM59" s="292"/>
      <c r="AN59" s="292"/>
      <c r="AO59" s="90"/>
      <c r="AT59" s="86" t="s">
        <v>118</v>
      </c>
      <c r="AU59" s="86">
        <f>IF(AU56&gt;=AU57,0,-$BX$13*LN(AU56/AU57))</f>
        <v>0</v>
      </c>
      <c r="AW59" s="90"/>
      <c r="AX59" s="90"/>
      <c r="AY59" s="90"/>
      <c r="AZ59" s="90"/>
      <c r="BA59" s="90"/>
      <c r="BB59" s="90"/>
      <c r="BC59" s="55" t="s">
        <v>47</v>
      </c>
      <c r="BD59" s="55" t="s">
        <v>47</v>
      </c>
      <c r="BG59" s="39"/>
      <c r="BH59" s="40"/>
      <c r="BI59" s="39" t="s">
        <v>43</v>
      </c>
      <c r="BJ59" s="40" t="s">
        <v>43</v>
      </c>
      <c r="BK59" s="40"/>
      <c r="BL59" s="40"/>
      <c r="BM59" s="39" t="s">
        <v>18</v>
      </c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</row>
    <row r="60" spans="1:107" s="86" customFormat="1" ht="13.5" customHeight="1">
      <c r="A60" s="243"/>
      <c r="B60" s="91" t="s">
        <v>18</v>
      </c>
      <c r="C60" s="116" t="str">
        <f t="shared" si="29"/>
        <v>de</v>
      </c>
      <c r="D60" s="116" t="str">
        <f t="shared" si="29"/>
        <v> </v>
      </c>
      <c r="E60" s="116" t="str">
        <f aca="true" t="shared" si="30" ref="E60:G61">E17</f>
        <v>oC</v>
      </c>
      <c r="F60" s="116" t="str">
        <f t="shared" si="30"/>
        <v>mm</v>
      </c>
      <c r="G60" s="116" t="str">
        <f t="shared" si="30"/>
        <v>horas</v>
      </c>
      <c r="H60" s="116" t="str">
        <f aca="true" t="shared" si="31" ref="H60:H97">L17</f>
        <v>Thornthwaite</v>
      </c>
      <c r="I60" s="44" t="s">
        <v>47</v>
      </c>
      <c r="J60" s="116"/>
      <c r="K60" s="116" t="s">
        <v>18</v>
      </c>
      <c r="L60" s="44"/>
      <c r="M60" s="51" t="s">
        <v>47</v>
      </c>
      <c r="N60" s="52" t="s">
        <v>47</v>
      </c>
      <c r="O60" s="44" t="s">
        <v>47</v>
      </c>
      <c r="P60" s="44" t="s">
        <v>47</v>
      </c>
      <c r="Q60" s="53" t="s">
        <v>47</v>
      </c>
      <c r="R60" s="243"/>
      <c r="S60" s="243"/>
      <c r="T60" s="243"/>
      <c r="U60" s="239"/>
      <c r="V60" s="239"/>
      <c r="W60" s="277"/>
      <c r="X60" s="277"/>
      <c r="Y60" s="243"/>
      <c r="Z60" s="278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92"/>
      <c r="AM60" s="292"/>
      <c r="AN60" s="292"/>
      <c r="AO60" s="90"/>
      <c r="AW60" s="90"/>
      <c r="AX60" s="90"/>
      <c r="AY60" s="90"/>
      <c r="AZ60" s="90"/>
      <c r="BA60" s="90"/>
      <c r="BB60" s="90"/>
      <c r="BC60" s="71">
        <f>IF(I62&gt;0,AW54+I62,0)</f>
        <v>115.91784972361026</v>
      </c>
      <c r="BD60" s="71">
        <f>IF(I62&gt;0,I62+BC95,0)</f>
        <v>115.91784972361026</v>
      </c>
      <c r="BG60" s="39"/>
      <c r="BH60" s="40"/>
      <c r="BI60" s="39">
        <v>2</v>
      </c>
      <c r="BJ60" s="39">
        <v>1</v>
      </c>
      <c r="BK60" s="39"/>
      <c r="BL60" s="39"/>
      <c r="BM60" s="39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</row>
    <row r="61" spans="1:107" s="86" customFormat="1" ht="13.5" customHeight="1">
      <c r="A61" s="243"/>
      <c r="B61" s="54" t="s">
        <v>18</v>
      </c>
      <c r="C61" s="117" t="str">
        <f t="shared" si="29"/>
        <v>dias</v>
      </c>
      <c r="D61" s="117" t="str">
        <f t="shared" si="29"/>
        <v> </v>
      </c>
      <c r="E61" s="117" t="str">
        <f t="shared" si="30"/>
        <v> </v>
      </c>
      <c r="F61" s="117" t="str">
        <f t="shared" si="30"/>
        <v> </v>
      </c>
      <c r="G61" s="117" t="str">
        <f t="shared" si="30"/>
        <v> </v>
      </c>
      <c r="H61" s="117">
        <f t="shared" si="31"/>
        <v>1948</v>
      </c>
      <c r="I61" s="55" t="s">
        <v>18</v>
      </c>
      <c r="J61" s="117"/>
      <c r="K61" s="117" t="s">
        <v>18</v>
      </c>
      <c r="L61" s="55"/>
      <c r="M61" s="62" t="s">
        <v>18</v>
      </c>
      <c r="N61" s="63" t="s">
        <v>18</v>
      </c>
      <c r="O61" s="55" t="s">
        <v>18</v>
      </c>
      <c r="P61" s="55" t="s">
        <v>18</v>
      </c>
      <c r="Q61" s="64" t="s">
        <v>18</v>
      </c>
      <c r="R61" s="243"/>
      <c r="S61" s="243"/>
      <c r="T61" s="243"/>
      <c r="U61" s="239"/>
      <c r="V61" s="239"/>
      <c r="W61" s="277"/>
      <c r="X61" s="277"/>
      <c r="Y61" s="243"/>
      <c r="Z61" s="280" t="s">
        <v>80</v>
      </c>
      <c r="AA61" s="280" t="s">
        <v>83</v>
      </c>
      <c r="AB61" s="280" t="s">
        <v>32</v>
      </c>
      <c r="AC61" s="281" t="s">
        <v>40</v>
      </c>
      <c r="AD61" s="279"/>
      <c r="AE61" s="279"/>
      <c r="AF61" s="279"/>
      <c r="AG61" s="279"/>
      <c r="AH61" s="279"/>
      <c r="AI61" s="279"/>
      <c r="AJ61" s="279"/>
      <c r="AK61" s="279"/>
      <c r="AL61" s="292"/>
      <c r="AM61" s="292"/>
      <c r="AN61" s="292"/>
      <c r="AO61" s="90"/>
      <c r="AW61" s="90"/>
      <c r="AX61" s="90"/>
      <c r="AY61" s="90"/>
      <c r="AZ61" s="90"/>
      <c r="BA61" s="90"/>
      <c r="BB61" s="90"/>
      <c r="BC61" s="71">
        <f aca="true" t="shared" si="32" ref="BC61:BC95">IF(I63&gt;0,BC60+I63,0)</f>
        <v>176.2667435810664</v>
      </c>
      <c r="BD61" s="71">
        <f aca="true" t="shared" si="33" ref="BD61:BD95">IF(I63&gt;0,I63+BD60,0)</f>
        <v>176.2667435810664</v>
      </c>
      <c r="BG61" s="39"/>
      <c r="BH61" s="40"/>
      <c r="BI61" s="39" t="s">
        <v>18</v>
      </c>
      <c r="BJ61" s="39" t="s">
        <v>18</v>
      </c>
      <c r="BK61" s="39"/>
      <c r="BL61" s="39"/>
      <c r="BM61" s="39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G61" s="243"/>
      <c r="CH61" s="243"/>
      <c r="CI61" s="243"/>
      <c r="CJ61" s="243"/>
      <c r="CK61" s="341" t="s">
        <v>119</v>
      </c>
      <c r="CL61" s="342" t="s">
        <v>42</v>
      </c>
      <c r="CM61" s="342" t="s">
        <v>41</v>
      </c>
      <c r="CN61" s="342" t="s">
        <v>85</v>
      </c>
      <c r="CO61" s="343" t="s">
        <v>86</v>
      </c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</row>
    <row r="62" spans="1:107" s="1" customFormat="1" ht="12.75">
      <c r="A62" s="239"/>
      <c r="B62" s="96" t="str">
        <f>B19</f>
        <v>J1</v>
      </c>
      <c r="C62" s="213">
        <f t="shared" si="29"/>
        <v>10</v>
      </c>
      <c r="D62" s="212">
        <f t="shared" si="29"/>
        <v>1</v>
      </c>
      <c r="E62" s="212">
        <f aca="true" t="shared" si="34" ref="E62:G81">E19</f>
        <v>24</v>
      </c>
      <c r="F62" s="212">
        <f t="shared" si="34"/>
        <v>50</v>
      </c>
      <c r="G62" s="73">
        <f t="shared" si="34"/>
        <v>13.345591461005531</v>
      </c>
      <c r="H62" s="73">
        <f t="shared" si="31"/>
        <v>39.868481953405826</v>
      </c>
      <c r="I62" s="71">
        <f aca="true" t="shared" si="35" ref="I62:I97">F62-H62</f>
        <v>10.131518046594174</v>
      </c>
      <c r="J62" s="212"/>
      <c r="K62" s="212"/>
      <c r="L62" s="71">
        <f>IF(BM62=0,0,IF(I62&lt;0,AZ54+I62,IF(I62&gt;0,$BX$13*LN(M62/$BX$13))))</f>
        <v>0</v>
      </c>
      <c r="M62" s="73">
        <f aca="true" t="shared" si="36" ref="M62:M97">IF(BM62=1,IF(BG62&gt;$BX$13,$BX$13,BG62),"")</f>
        <v>125</v>
      </c>
      <c r="N62" s="73">
        <f>IF(AND($AX$10=2,BM62=1,BM54=0),BD60,IF(BM62=1,M62-BA54,""))</f>
        <v>0</v>
      </c>
      <c r="O62" s="71">
        <f aca="true" t="shared" si="37" ref="O62:O97">IF(BM62=1,IF(I62&gt;=0,H62,IF(N62&lt;0,F62+ABS(N62),H62)),"")</f>
        <v>39.868481953405826</v>
      </c>
      <c r="P62" s="71">
        <f aca="true" t="shared" si="38" ref="P62:P97">IF(BM62=1,H62-O62,"")</f>
        <v>0</v>
      </c>
      <c r="Q62" s="74">
        <f aca="true" t="shared" si="39" ref="Q62:Q97">IF(BM62=1,IF(M62&lt;$BX$13,0,IF(M62=$BX$13,I62-N62)),"")</f>
        <v>10.131518046594174</v>
      </c>
      <c r="R62" s="239"/>
      <c r="S62" s="239"/>
      <c r="T62" s="239"/>
      <c r="U62" s="239"/>
      <c r="V62" s="239"/>
      <c r="W62" s="69"/>
      <c r="X62" s="69"/>
      <c r="Y62" s="239"/>
      <c r="Z62" s="68" t="str">
        <f>Z19</f>
        <v>J1</v>
      </c>
      <c r="AA62" s="97">
        <f aca="true" t="shared" si="40" ref="AA62:AA97">F62</f>
        <v>50</v>
      </c>
      <c r="AB62" s="97">
        <f aca="true" t="shared" si="41" ref="AB62:AB97">H62</f>
        <v>39.868481953405826</v>
      </c>
      <c r="AC62" s="70">
        <f aca="true" t="shared" si="42" ref="AC62:AC97">O62</f>
        <v>39.868481953405826</v>
      </c>
      <c r="AD62" s="244"/>
      <c r="AE62" s="244"/>
      <c r="AF62" s="244"/>
      <c r="AG62" s="244"/>
      <c r="AH62" s="244"/>
      <c r="AI62" s="244"/>
      <c r="AJ62" s="244"/>
      <c r="AK62" s="244"/>
      <c r="AL62" s="253"/>
      <c r="AM62" s="253"/>
      <c r="AN62" s="253"/>
      <c r="AO62" s="13"/>
      <c r="AW62" s="13"/>
      <c r="AX62" s="13"/>
      <c r="AY62" s="13"/>
      <c r="AZ62" s="13"/>
      <c r="BA62" s="13"/>
      <c r="BB62" s="13"/>
      <c r="BC62" s="71">
        <f t="shared" si="32"/>
        <v>191.82047789261605</v>
      </c>
      <c r="BD62" s="71">
        <f t="shared" si="33"/>
        <v>191.82047789261605</v>
      </c>
      <c r="BG62" s="14">
        <f>IF(BM62=0,0,IF(I62&lt;0,$BX$13*EXP(L62/$BX$13),IF(I62&gt;0,BG54+ABS(I62))))</f>
        <v>193.6438471941985</v>
      </c>
      <c r="BH62" s="6"/>
      <c r="BI62" s="14">
        <f aca="true" t="shared" si="43" ref="BI62:BI97">IF(BC60=$BN$56,1,0)</f>
        <v>0</v>
      </c>
      <c r="BJ62" s="14">
        <f>IF(OR(BC60&gt;=$BX$13,BJ54=1),1,0)</f>
        <v>1</v>
      </c>
      <c r="BK62" s="14"/>
      <c r="BL62" s="14"/>
      <c r="BM62" s="14">
        <f>IF($BJ$56&lt;&gt;0,IF(OR(BJ62=1,BM54=1),1,0),IF(OR(BI62=1,BM54=1),1,0))</f>
        <v>1</v>
      </c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G62" s="239"/>
      <c r="CH62" s="239"/>
      <c r="CI62" s="239"/>
      <c r="CJ62" s="239"/>
      <c r="CK62" s="373" t="str">
        <f aca="true" t="shared" si="44" ref="CK62:CK97">Z62</f>
        <v>J1</v>
      </c>
      <c r="CL62" s="69">
        <f aca="true" t="shared" si="45" ref="CL62:CL97">Q62</f>
        <v>10.131518046594174</v>
      </c>
      <c r="CM62" s="69">
        <f aca="true" t="shared" si="46" ref="CM62:CM97">-P62</f>
        <v>0</v>
      </c>
      <c r="CN62" s="69">
        <f aca="true" t="shared" si="47" ref="CN62:CN97">IF(N62&lt;0,N62,0)</f>
        <v>0</v>
      </c>
      <c r="CO62" s="70">
        <f aca="true" t="shared" si="48" ref="CO62:CO97">IF(N62&gt;=0,N62,0)</f>
        <v>0</v>
      </c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</row>
    <row r="63" spans="1:107" s="1" customFormat="1" ht="12.75">
      <c r="A63" s="239"/>
      <c r="B63" s="96" t="str">
        <f aca="true" t="shared" si="49" ref="B63:D97">B20</f>
        <v>J2</v>
      </c>
      <c r="C63" s="212">
        <f t="shared" si="49"/>
        <v>10</v>
      </c>
      <c r="D63" s="212">
        <f t="shared" si="49"/>
        <v>11</v>
      </c>
      <c r="E63" s="212">
        <f t="shared" si="34"/>
        <v>24</v>
      </c>
      <c r="F63" s="212">
        <f t="shared" si="34"/>
        <v>100</v>
      </c>
      <c r="G63" s="73">
        <f t="shared" si="34"/>
        <v>13.272826995865897</v>
      </c>
      <c r="H63" s="73">
        <f t="shared" si="31"/>
        <v>39.651106142543846</v>
      </c>
      <c r="I63" s="71">
        <f t="shared" si="35"/>
        <v>60.348893857456154</v>
      </c>
      <c r="J63" s="212"/>
      <c r="K63" s="212"/>
      <c r="L63" s="71">
        <f aca="true" t="shared" si="50" ref="L63:L97">IF(BM63=0,0,IF(I63&lt;0,L62+I63,IF(I63&gt;0,$BX$13*LN(M63/$BX$13))))</f>
        <v>0</v>
      </c>
      <c r="M63" s="73">
        <f t="shared" si="36"/>
        <v>125</v>
      </c>
      <c r="N63" s="73">
        <f aca="true" t="shared" si="51" ref="N63:N97">IF(AND($AX$10=2,BM63=1,BM62=0),BD61,IF(BM63=1,M63-M62,""))</f>
        <v>0</v>
      </c>
      <c r="O63" s="71">
        <f t="shared" si="37"/>
        <v>39.651106142543846</v>
      </c>
      <c r="P63" s="71">
        <f t="shared" si="38"/>
        <v>0</v>
      </c>
      <c r="Q63" s="74">
        <f t="shared" si="39"/>
        <v>60.348893857456154</v>
      </c>
      <c r="R63" s="239"/>
      <c r="S63" s="239"/>
      <c r="T63" s="239"/>
      <c r="U63" s="239"/>
      <c r="V63" s="239"/>
      <c r="W63" s="69"/>
      <c r="X63" s="69"/>
      <c r="Y63" s="239"/>
      <c r="Z63" s="68" t="str">
        <f>Z20</f>
        <v>J2</v>
      </c>
      <c r="AA63" s="97">
        <f t="shared" si="40"/>
        <v>100</v>
      </c>
      <c r="AB63" s="97">
        <f t="shared" si="41"/>
        <v>39.651106142543846</v>
      </c>
      <c r="AC63" s="70">
        <f t="shared" si="42"/>
        <v>39.651106142543846</v>
      </c>
      <c r="AD63" s="244"/>
      <c r="AE63" s="244"/>
      <c r="AF63" s="244"/>
      <c r="AG63" s="244"/>
      <c r="AH63" s="244"/>
      <c r="AI63" s="244"/>
      <c r="AJ63" s="244"/>
      <c r="AK63" s="244"/>
      <c r="AL63" s="253"/>
      <c r="AM63" s="253"/>
      <c r="AN63" s="253"/>
      <c r="AO63" s="13"/>
      <c r="AW63" s="13"/>
      <c r="AX63" s="13"/>
      <c r="AY63" s="13"/>
      <c r="AZ63" s="13"/>
      <c r="BA63" s="13"/>
      <c r="BB63" s="13"/>
      <c r="BC63" s="71">
        <f t="shared" si="32"/>
        <v>205.13436176328784</v>
      </c>
      <c r="BD63" s="71">
        <f t="shared" si="33"/>
        <v>205.13436176328784</v>
      </c>
      <c r="BG63" s="14">
        <f aca="true" t="shared" si="52" ref="BG63:BG97">IF(BM63=0,0,IF(I63&lt;0,$BX$13*EXP(L63/$BX$13),IF(I63&gt;0,BG62+ABS(I63))))</f>
        <v>253.99274105165463</v>
      </c>
      <c r="BH63" s="6"/>
      <c r="BI63" s="14">
        <f t="shared" si="43"/>
        <v>0</v>
      </c>
      <c r="BJ63" s="14">
        <f aca="true" t="shared" si="53" ref="BJ63:BJ97">IF(OR(BC61&gt;=$BX$13,BJ62=1),1,0)</f>
        <v>1</v>
      </c>
      <c r="BK63" s="14"/>
      <c r="BL63" s="14"/>
      <c r="BM63" s="14">
        <f aca="true" t="shared" si="54" ref="BM63:BM97">IF($BJ$56&lt;&gt;0,IF(OR(BJ63=1,BM62=1),1,0),IF(OR(BI63=1,BM62=1),1,0))</f>
        <v>1</v>
      </c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G63" s="239"/>
      <c r="CH63" s="239"/>
      <c r="CI63" s="239"/>
      <c r="CJ63" s="239"/>
      <c r="CK63" s="373" t="str">
        <f t="shared" si="44"/>
        <v>J2</v>
      </c>
      <c r="CL63" s="69">
        <f t="shared" si="45"/>
        <v>60.348893857456154</v>
      </c>
      <c r="CM63" s="69">
        <f t="shared" si="46"/>
        <v>0</v>
      </c>
      <c r="CN63" s="69">
        <f t="shared" si="47"/>
        <v>0</v>
      </c>
      <c r="CO63" s="70">
        <f t="shared" si="48"/>
        <v>0</v>
      </c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</row>
    <row r="64" spans="1:107" s="1" customFormat="1" ht="12.75">
      <c r="A64" s="239"/>
      <c r="B64" s="96" t="str">
        <f t="shared" si="49"/>
        <v>J3</v>
      </c>
      <c r="C64" s="212">
        <f t="shared" si="49"/>
        <v>11</v>
      </c>
      <c r="D64" s="212">
        <f t="shared" si="49"/>
        <v>21</v>
      </c>
      <c r="E64" s="212">
        <f t="shared" si="34"/>
        <v>24</v>
      </c>
      <c r="F64" s="212">
        <f t="shared" si="34"/>
        <v>58.8</v>
      </c>
      <c r="G64" s="73">
        <f t="shared" si="34"/>
        <v>13.16024738919123</v>
      </c>
      <c r="H64" s="73">
        <f t="shared" si="31"/>
        <v>43.24626568845034</v>
      </c>
      <c r="I64" s="71">
        <f t="shared" si="35"/>
        <v>15.553734311549654</v>
      </c>
      <c r="J64" s="212"/>
      <c r="K64" s="212"/>
      <c r="L64" s="71">
        <f t="shared" si="50"/>
        <v>0</v>
      </c>
      <c r="M64" s="73">
        <f t="shared" si="36"/>
        <v>125</v>
      </c>
      <c r="N64" s="73">
        <f t="shared" si="51"/>
        <v>0</v>
      </c>
      <c r="O64" s="71">
        <f t="shared" si="37"/>
        <v>43.24626568845034</v>
      </c>
      <c r="P64" s="71">
        <f t="shared" si="38"/>
        <v>0</v>
      </c>
      <c r="Q64" s="74">
        <f t="shared" si="39"/>
        <v>15.553734311549654</v>
      </c>
      <c r="R64" s="239"/>
      <c r="S64" s="239"/>
      <c r="T64" s="239"/>
      <c r="U64" s="239"/>
      <c r="V64" s="239"/>
      <c r="W64" s="69"/>
      <c r="X64" s="69"/>
      <c r="Y64" s="239"/>
      <c r="Z64" s="68" t="str">
        <f aca="true" t="shared" si="55" ref="Z64:Z97">Z21</f>
        <v>J3</v>
      </c>
      <c r="AA64" s="97">
        <f t="shared" si="40"/>
        <v>58.8</v>
      </c>
      <c r="AB64" s="97">
        <f t="shared" si="41"/>
        <v>43.24626568845034</v>
      </c>
      <c r="AC64" s="70">
        <f t="shared" si="42"/>
        <v>43.24626568845034</v>
      </c>
      <c r="AD64" s="244"/>
      <c r="AE64" s="244"/>
      <c r="AF64" s="244"/>
      <c r="AG64" s="244"/>
      <c r="AH64" s="244"/>
      <c r="AI64" s="244"/>
      <c r="AJ64" s="244"/>
      <c r="AK64" s="244"/>
      <c r="AL64" s="253"/>
      <c r="AM64" s="253"/>
      <c r="AN64" s="253"/>
      <c r="AO64" s="13"/>
      <c r="AW64" s="13"/>
      <c r="AX64" s="13"/>
      <c r="AY64" s="13"/>
      <c r="AZ64" s="13"/>
      <c r="BA64" s="13"/>
      <c r="BB64" s="13"/>
      <c r="BC64" s="71">
        <f t="shared" si="32"/>
        <v>262.9106793902149</v>
      </c>
      <c r="BD64" s="71">
        <f t="shared" si="33"/>
        <v>262.9106793902149</v>
      </c>
      <c r="BG64" s="14">
        <f t="shared" si="52"/>
        <v>269.5464753632043</v>
      </c>
      <c r="BH64" s="6"/>
      <c r="BI64" s="14">
        <f t="shared" si="43"/>
        <v>0</v>
      </c>
      <c r="BJ64" s="14">
        <f t="shared" si="53"/>
        <v>1</v>
      </c>
      <c r="BK64" s="14"/>
      <c r="BL64" s="14"/>
      <c r="BM64" s="14">
        <f t="shared" si="54"/>
        <v>1</v>
      </c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G64" s="239"/>
      <c r="CH64" s="239"/>
      <c r="CI64" s="239"/>
      <c r="CJ64" s="239"/>
      <c r="CK64" s="373" t="str">
        <f t="shared" si="44"/>
        <v>J3</v>
      </c>
      <c r="CL64" s="69">
        <f t="shared" si="45"/>
        <v>15.553734311549654</v>
      </c>
      <c r="CM64" s="69">
        <f t="shared" si="46"/>
        <v>0</v>
      </c>
      <c r="CN64" s="69">
        <f t="shared" si="47"/>
        <v>0</v>
      </c>
      <c r="CO64" s="70">
        <f t="shared" si="48"/>
        <v>0</v>
      </c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</row>
    <row r="65" spans="1:107" s="1" customFormat="1" ht="12.75">
      <c r="A65" s="239"/>
      <c r="B65" s="96" t="str">
        <f t="shared" si="49"/>
        <v>F1</v>
      </c>
      <c r="C65" s="212">
        <f t="shared" si="49"/>
        <v>10</v>
      </c>
      <c r="D65" s="212">
        <f t="shared" si="49"/>
        <v>32</v>
      </c>
      <c r="E65" s="212">
        <f t="shared" si="34"/>
        <v>24.6</v>
      </c>
      <c r="F65" s="212">
        <f t="shared" si="34"/>
        <v>54.5</v>
      </c>
      <c r="G65" s="73">
        <f t="shared" si="34"/>
        <v>12.997611144945155</v>
      </c>
      <c r="H65" s="73">
        <f t="shared" si="31"/>
        <v>41.18611612932821</v>
      </c>
      <c r="I65" s="71">
        <f t="shared" si="35"/>
        <v>13.313883870671788</v>
      </c>
      <c r="J65" s="212"/>
      <c r="K65" s="212"/>
      <c r="L65" s="71">
        <f t="shared" si="50"/>
        <v>0</v>
      </c>
      <c r="M65" s="73">
        <f t="shared" si="36"/>
        <v>125</v>
      </c>
      <c r="N65" s="73">
        <f t="shared" si="51"/>
        <v>0</v>
      </c>
      <c r="O65" s="71">
        <f t="shared" si="37"/>
        <v>41.18611612932821</v>
      </c>
      <c r="P65" s="71">
        <f t="shared" si="38"/>
        <v>0</v>
      </c>
      <c r="Q65" s="74">
        <f t="shared" si="39"/>
        <v>13.313883870671788</v>
      </c>
      <c r="R65" s="239"/>
      <c r="S65" s="239"/>
      <c r="T65" s="239"/>
      <c r="U65" s="239"/>
      <c r="V65" s="239"/>
      <c r="W65" s="69"/>
      <c r="X65" s="69"/>
      <c r="Y65" s="239"/>
      <c r="Z65" s="68" t="str">
        <f t="shared" si="55"/>
        <v>F1</v>
      </c>
      <c r="AA65" s="97">
        <f t="shared" si="40"/>
        <v>54.5</v>
      </c>
      <c r="AB65" s="97">
        <f t="shared" si="41"/>
        <v>41.18611612932821</v>
      </c>
      <c r="AC65" s="70">
        <f t="shared" si="42"/>
        <v>41.18611612932821</v>
      </c>
      <c r="AD65" s="244"/>
      <c r="AE65" s="244"/>
      <c r="AF65" s="244"/>
      <c r="AG65" s="244"/>
      <c r="AH65" s="244"/>
      <c r="AI65" s="244"/>
      <c r="AJ65" s="244"/>
      <c r="AK65" s="244"/>
      <c r="AL65" s="253"/>
      <c r="AM65" s="253"/>
      <c r="AN65" s="253"/>
      <c r="AO65" s="13"/>
      <c r="AW65" s="13"/>
      <c r="AX65" s="13"/>
      <c r="AY65" s="13"/>
      <c r="AZ65" s="13"/>
      <c r="BA65" s="13"/>
      <c r="BB65" s="13"/>
      <c r="BC65" s="71">
        <f t="shared" si="32"/>
        <v>0</v>
      </c>
      <c r="BD65" s="71">
        <f t="shared" si="33"/>
        <v>0</v>
      </c>
      <c r="BG65" s="14">
        <f t="shared" si="52"/>
        <v>282.8603592338761</v>
      </c>
      <c r="BH65" s="6"/>
      <c r="BI65" s="14">
        <f t="shared" si="43"/>
        <v>0</v>
      </c>
      <c r="BJ65" s="14">
        <f t="shared" si="53"/>
        <v>1</v>
      </c>
      <c r="BK65" s="14"/>
      <c r="BL65" s="14"/>
      <c r="BM65" s="14">
        <f t="shared" si="54"/>
        <v>1</v>
      </c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G65" s="239"/>
      <c r="CH65" s="239"/>
      <c r="CI65" s="239"/>
      <c r="CJ65" s="239"/>
      <c r="CK65" s="373" t="str">
        <f t="shared" si="44"/>
        <v>F1</v>
      </c>
      <c r="CL65" s="69">
        <f t="shared" si="45"/>
        <v>13.313883870671788</v>
      </c>
      <c r="CM65" s="69">
        <f t="shared" si="46"/>
        <v>0</v>
      </c>
      <c r="CN65" s="69">
        <f t="shared" si="47"/>
        <v>0</v>
      </c>
      <c r="CO65" s="70">
        <f t="shared" si="48"/>
        <v>0</v>
      </c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</row>
    <row r="66" spans="1:107" s="1" customFormat="1" ht="12.75">
      <c r="A66" s="239"/>
      <c r="B66" s="96" t="str">
        <f t="shared" si="49"/>
        <v>F2</v>
      </c>
      <c r="C66" s="212">
        <f t="shared" si="49"/>
        <v>10</v>
      </c>
      <c r="D66" s="212">
        <f t="shared" si="49"/>
        <v>42</v>
      </c>
      <c r="E66" s="212">
        <f t="shared" si="34"/>
        <v>25</v>
      </c>
      <c r="F66" s="212">
        <f t="shared" si="34"/>
        <v>100</v>
      </c>
      <c r="G66" s="73">
        <f t="shared" si="34"/>
        <v>12.821820721589122</v>
      </c>
      <c r="H66" s="73">
        <f t="shared" si="31"/>
        <v>42.22368237307292</v>
      </c>
      <c r="I66" s="71">
        <f t="shared" si="35"/>
        <v>57.77631762692708</v>
      </c>
      <c r="J66" s="212"/>
      <c r="K66" s="212"/>
      <c r="L66" s="71">
        <f t="shared" si="50"/>
        <v>0</v>
      </c>
      <c r="M66" s="73">
        <f t="shared" si="36"/>
        <v>125</v>
      </c>
      <c r="N66" s="73">
        <f t="shared" si="51"/>
        <v>0</v>
      </c>
      <c r="O66" s="71">
        <f t="shared" si="37"/>
        <v>42.22368237307292</v>
      </c>
      <c r="P66" s="71">
        <f t="shared" si="38"/>
        <v>0</v>
      </c>
      <c r="Q66" s="74">
        <f t="shared" si="39"/>
        <v>57.77631762692708</v>
      </c>
      <c r="R66" s="239"/>
      <c r="S66" s="239"/>
      <c r="T66" s="239"/>
      <c r="U66" s="239"/>
      <c r="V66" s="239"/>
      <c r="W66" s="69"/>
      <c r="X66" s="69"/>
      <c r="Y66" s="239"/>
      <c r="Z66" s="68" t="str">
        <f t="shared" si="55"/>
        <v>F2</v>
      </c>
      <c r="AA66" s="97">
        <f t="shared" si="40"/>
        <v>100</v>
      </c>
      <c r="AB66" s="97">
        <f t="shared" si="41"/>
        <v>42.22368237307292</v>
      </c>
      <c r="AC66" s="70">
        <f t="shared" si="42"/>
        <v>42.22368237307292</v>
      </c>
      <c r="AD66" s="244"/>
      <c r="AE66" s="244"/>
      <c r="AF66" s="244"/>
      <c r="AG66" s="244"/>
      <c r="AH66" s="244"/>
      <c r="AI66" s="244"/>
      <c r="AJ66" s="244"/>
      <c r="AK66" s="244"/>
      <c r="AL66" s="253"/>
      <c r="AM66" s="253"/>
      <c r="AN66" s="253"/>
      <c r="AO66" s="13"/>
      <c r="AW66" s="13"/>
      <c r="AX66" s="13"/>
      <c r="AY66" s="13"/>
      <c r="AZ66" s="13"/>
      <c r="BA66" s="13"/>
      <c r="BB66" s="13"/>
      <c r="BC66" s="71">
        <f t="shared" si="32"/>
        <v>36.177926223515584</v>
      </c>
      <c r="BD66" s="71">
        <f t="shared" si="33"/>
        <v>36.177926223515584</v>
      </c>
      <c r="BG66" s="14">
        <f t="shared" si="52"/>
        <v>340.6366768608032</v>
      </c>
      <c r="BH66" s="6"/>
      <c r="BI66" s="14">
        <f t="shared" si="43"/>
        <v>1</v>
      </c>
      <c r="BJ66" s="14">
        <f t="shared" si="53"/>
        <v>1</v>
      </c>
      <c r="BK66" s="14"/>
      <c r="BL66" s="14"/>
      <c r="BM66" s="14">
        <f t="shared" si="54"/>
        <v>1</v>
      </c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G66" s="239"/>
      <c r="CH66" s="239"/>
      <c r="CI66" s="239"/>
      <c r="CJ66" s="239"/>
      <c r="CK66" s="373" t="str">
        <f t="shared" si="44"/>
        <v>F2</v>
      </c>
      <c r="CL66" s="69">
        <f t="shared" si="45"/>
        <v>57.77631762692708</v>
      </c>
      <c r="CM66" s="69">
        <f t="shared" si="46"/>
        <v>0</v>
      </c>
      <c r="CN66" s="69">
        <f t="shared" si="47"/>
        <v>0</v>
      </c>
      <c r="CO66" s="70">
        <f t="shared" si="48"/>
        <v>0</v>
      </c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</row>
    <row r="67" spans="1:107" s="1" customFormat="1" ht="12.75">
      <c r="A67" s="239"/>
      <c r="B67" s="96" t="str">
        <f t="shared" si="49"/>
        <v>F3</v>
      </c>
      <c r="C67" s="212">
        <f t="shared" si="49"/>
        <v>8</v>
      </c>
      <c r="D67" s="212">
        <f t="shared" si="49"/>
        <v>52</v>
      </c>
      <c r="E67" s="212">
        <f t="shared" si="34"/>
        <v>24</v>
      </c>
      <c r="F67" s="212">
        <f t="shared" si="34"/>
        <v>29.3</v>
      </c>
      <c r="G67" s="73">
        <f t="shared" si="34"/>
        <v>12.626292296599258</v>
      </c>
      <c r="H67" s="73">
        <f t="shared" si="31"/>
        <v>30.175724053070404</v>
      </c>
      <c r="I67" s="71">
        <f t="shared" si="35"/>
        <v>-0.8757240530704031</v>
      </c>
      <c r="J67" s="212"/>
      <c r="K67" s="212"/>
      <c r="L67" s="71">
        <f t="shared" si="50"/>
        <v>-0.8757240530704031</v>
      </c>
      <c r="M67" s="73">
        <f t="shared" si="36"/>
        <v>124.12733636633988</v>
      </c>
      <c r="N67" s="73">
        <f t="shared" si="51"/>
        <v>-0.8726636336601246</v>
      </c>
      <c r="O67" s="71">
        <f t="shared" si="37"/>
        <v>30.172663633660125</v>
      </c>
      <c r="P67" s="71">
        <f t="shared" si="38"/>
        <v>0.00306041941027857</v>
      </c>
      <c r="Q67" s="74">
        <f t="shared" si="39"/>
        <v>0</v>
      </c>
      <c r="R67" s="239"/>
      <c r="S67" s="239"/>
      <c r="T67" s="239"/>
      <c r="U67" s="239"/>
      <c r="V67" s="239"/>
      <c r="W67" s="69"/>
      <c r="X67" s="69"/>
      <c r="Y67" s="239"/>
      <c r="Z67" s="68" t="str">
        <f t="shared" si="55"/>
        <v>F3</v>
      </c>
      <c r="AA67" s="97">
        <f t="shared" si="40"/>
        <v>29.3</v>
      </c>
      <c r="AB67" s="97">
        <f t="shared" si="41"/>
        <v>30.175724053070404</v>
      </c>
      <c r="AC67" s="70">
        <f t="shared" si="42"/>
        <v>30.172663633660125</v>
      </c>
      <c r="AD67" s="244"/>
      <c r="AE67" s="244"/>
      <c r="AF67" s="244"/>
      <c r="AG67" s="244"/>
      <c r="AH67" s="244"/>
      <c r="AI67" s="244"/>
      <c r="AJ67" s="244"/>
      <c r="AK67" s="244"/>
      <c r="AL67" s="253"/>
      <c r="AM67" s="253"/>
      <c r="AN67" s="253"/>
      <c r="AO67" s="13"/>
      <c r="AW67" s="13"/>
      <c r="AX67" s="13"/>
      <c r="AY67" s="13"/>
      <c r="AZ67" s="13"/>
      <c r="BA67" s="13"/>
      <c r="BB67" s="13"/>
      <c r="BC67" s="71">
        <f t="shared" si="32"/>
        <v>42.59481568455543</v>
      </c>
      <c r="BD67" s="71">
        <f t="shared" si="33"/>
        <v>42.59481568455543</v>
      </c>
      <c r="BG67" s="14">
        <f t="shared" si="52"/>
        <v>124.12733636633988</v>
      </c>
      <c r="BH67" s="6"/>
      <c r="BI67" s="14">
        <f t="shared" si="43"/>
        <v>0</v>
      </c>
      <c r="BJ67" s="14">
        <f t="shared" si="53"/>
        <v>1</v>
      </c>
      <c r="BK67" s="14"/>
      <c r="BL67" s="14"/>
      <c r="BM67" s="14">
        <f t="shared" si="54"/>
        <v>1</v>
      </c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G67" s="239"/>
      <c r="CH67" s="239"/>
      <c r="CI67" s="239"/>
      <c r="CJ67" s="239"/>
      <c r="CK67" s="373" t="str">
        <f t="shared" si="44"/>
        <v>F3</v>
      </c>
      <c r="CL67" s="69">
        <f t="shared" si="45"/>
        <v>0</v>
      </c>
      <c r="CM67" s="69">
        <f t="shared" si="46"/>
        <v>-0.00306041941027857</v>
      </c>
      <c r="CN67" s="69">
        <f t="shared" si="47"/>
        <v>-0.8726636336601246</v>
      </c>
      <c r="CO67" s="70">
        <f t="shared" si="48"/>
        <v>0</v>
      </c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</row>
    <row r="68" spans="1:107" s="1" customFormat="1" ht="12.75">
      <c r="A68" s="239"/>
      <c r="B68" s="96" t="str">
        <f t="shared" si="49"/>
        <v>M1</v>
      </c>
      <c r="C68" s="212">
        <f t="shared" si="49"/>
        <v>10</v>
      </c>
      <c r="D68" s="212">
        <f t="shared" si="49"/>
        <v>60</v>
      </c>
      <c r="E68" s="212">
        <f t="shared" si="34"/>
        <v>24</v>
      </c>
      <c r="F68" s="212">
        <f t="shared" si="34"/>
        <v>73.4</v>
      </c>
      <c r="G68" s="73">
        <f t="shared" si="34"/>
        <v>12.459731738291898</v>
      </c>
      <c r="H68" s="73">
        <f t="shared" si="31"/>
        <v>37.22207377648442</v>
      </c>
      <c r="I68" s="71">
        <f t="shared" si="35"/>
        <v>36.177926223515584</v>
      </c>
      <c r="J68" s="212"/>
      <c r="K68" s="212"/>
      <c r="L68" s="71">
        <f t="shared" si="50"/>
        <v>0</v>
      </c>
      <c r="M68" s="73">
        <f t="shared" si="36"/>
        <v>125</v>
      </c>
      <c r="N68" s="73">
        <f t="shared" si="51"/>
        <v>0.8726636336601246</v>
      </c>
      <c r="O68" s="71">
        <f t="shared" si="37"/>
        <v>37.22207377648442</v>
      </c>
      <c r="P68" s="71">
        <f t="shared" si="38"/>
        <v>0</v>
      </c>
      <c r="Q68" s="74">
        <f t="shared" si="39"/>
        <v>35.30526258985546</v>
      </c>
      <c r="R68" s="239"/>
      <c r="S68" s="239"/>
      <c r="T68" s="239"/>
      <c r="U68" s="239"/>
      <c r="V68" s="239"/>
      <c r="W68" s="69"/>
      <c r="X68" s="69"/>
      <c r="Y68" s="239"/>
      <c r="Z68" s="68" t="str">
        <f t="shared" si="55"/>
        <v>M1</v>
      </c>
      <c r="AA68" s="97">
        <f t="shared" si="40"/>
        <v>73.4</v>
      </c>
      <c r="AB68" s="97">
        <f t="shared" si="41"/>
        <v>37.22207377648442</v>
      </c>
      <c r="AC68" s="70">
        <f t="shared" si="42"/>
        <v>37.22207377648442</v>
      </c>
      <c r="AD68" s="244"/>
      <c r="AE68" s="244"/>
      <c r="AF68" s="244"/>
      <c r="AG68" s="244"/>
      <c r="AH68" s="244"/>
      <c r="AI68" s="244"/>
      <c r="AJ68" s="244"/>
      <c r="AK68" s="244"/>
      <c r="AL68" s="253"/>
      <c r="AM68" s="253"/>
      <c r="AN68" s="253"/>
      <c r="AO68" s="13"/>
      <c r="AW68" s="13"/>
      <c r="AX68" s="13"/>
      <c r="AY68" s="13"/>
      <c r="AZ68" s="13"/>
      <c r="BA68" s="13"/>
      <c r="BB68" s="13"/>
      <c r="BC68" s="71">
        <f t="shared" si="32"/>
        <v>0</v>
      </c>
      <c r="BD68" s="71">
        <f t="shared" si="33"/>
        <v>0</v>
      </c>
      <c r="BG68" s="14">
        <f t="shared" si="52"/>
        <v>160.30526258985546</v>
      </c>
      <c r="BH68" s="6"/>
      <c r="BI68" s="14">
        <f t="shared" si="43"/>
        <v>0</v>
      </c>
      <c r="BJ68" s="14">
        <f t="shared" si="53"/>
        <v>1</v>
      </c>
      <c r="BK68" s="14"/>
      <c r="BL68" s="14"/>
      <c r="BM68" s="14">
        <f t="shared" si="54"/>
        <v>1</v>
      </c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G68" s="239"/>
      <c r="CH68" s="239"/>
      <c r="CI68" s="239"/>
      <c r="CJ68" s="239"/>
      <c r="CK68" s="373" t="str">
        <f t="shared" si="44"/>
        <v>M1</v>
      </c>
      <c r="CL68" s="69">
        <f t="shared" si="45"/>
        <v>35.30526258985546</v>
      </c>
      <c r="CM68" s="69">
        <f t="shared" si="46"/>
        <v>0</v>
      </c>
      <c r="CN68" s="69">
        <f t="shared" si="47"/>
        <v>0</v>
      </c>
      <c r="CO68" s="70">
        <f t="shared" si="48"/>
        <v>0.8726636336601246</v>
      </c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39"/>
      <c r="DC68" s="239"/>
    </row>
    <row r="69" spans="1:107" s="1" customFormat="1" ht="12.75">
      <c r="A69" s="239"/>
      <c r="B69" s="96" t="str">
        <f t="shared" si="49"/>
        <v>M2</v>
      </c>
      <c r="C69" s="212">
        <f t="shared" si="49"/>
        <v>10</v>
      </c>
      <c r="D69" s="212">
        <f t="shared" si="49"/>
        <v>70</v>
      </c>
      <c r="E69" s="212">
        <f t="shared" si="34"/>
        <v>23.5</v>
      </c>
      <c r="F69" s="212">
        <f t="shared" si="34"/>
        <v>41.2</v>
      </c>
      <c r="G69" s="73">
        <f t="shared" si="34"/>
        <v>12.2433343359965</v>
      </c>
      <c r="H69" s="73">
        <f t="shared" si="31"/>
        <v>34.78311053896016</v>
      </c>
      <c r="I69" s="71">
        <f t="shared" si="35"/>
        <v>6.416889461039844</v>
      </c>
      <c r="J69" s="212"/>
      <c r="K69" s="212"/>
      <c r="L69" s="71">
        <f t="shared" si="50"/>
        <v>0</v>
      </c>
      <c r="M69" s="73">
        <f t="shared" si="36"/>
        <v>125</v>
      </c>
      <c r="N69" s="73">
        <f t="shared" si="51"/>
        <v>0</v>
      </c>
      <c r="O69" s="71">
        <f t="shared" si="37"/>
        <v>34.78311053896016</v>
      </c>
      <c r="P69" s="71">
        <f t="shared" si="38"/>
        <v>0</v>
      </c>
      <c r="Q69" s="74">
        <f t="shared" si="39"/>
        <v>6.416889461039844</v>
      </c>
      <c r="R69" s="239"/>
      <c r="S69" s="239"/>
      <c r="T69" s="239"/>
      <c r="U69" s="239"/>
      <c r="V69" s="239"/>
      <c r="W69" s="69"/>
      <c r="X69" s="69"/>
      <c r="Y69" s="239"/>
      <c r="Z69" s="68" t="str">
        <f t="shared" si="55"/>
        <v>M2</v>
      </c>
      <c r="AA69" s="97">
        <f t="shared" si="40"/>
        <v>41.2</v>
      </c>
      <c r="AB69" s="97">
        <f t="shared" si="41"/>
        <v>34.78311053896016</v>
      </c>
      <c r="AC69" s="70">
        <f t="shared" si="42"/>
        <v>34.78311053896016</v>
      </c>
      <c r="AD69" s="244"/>
      <c r="AE69" s="244"/>
      <c r="AF69" s="244"/>
      <c r="AG69" s="244"/>
      <c r="AH69" s="244"/>
      <c r="AI69" s="244"/>
      <c r="AJ69" s="244"/>
      <c r="AK69" s="244"/>
      <c r="AL69" s="253"/>
      <c r="AM69" s="253"/>
      <c r="AN69" s="253"/>
      <c r="AO69" s="13"/>
      <c r="AW69" s="13"/>
      <c r="AX69" s="13"/>
      <c r="AY69" s="13"/>
      <c r="AZ69" s="13"/>
      <c r="BA69" s="13"/>
      <c r="BB69" s="13"/>
      <c r="BC69" s="71">
        <f t="shared" si="32"/>
        <v>5.427718047006827</v>
      </c>
      <c r="BD69" s="71">
        <f t="shared" si="33"/>
        <v>5.427718047006827</v>
      </c>
      <c r="BG69" s="14">
        <f t="shared" si="52"/>
        <v>166.72215205089532</v>
      </c>
      <c r="BH69" s="6"/>
      <c r="BI69" s="14">
        <f t="shared" si="43"/>
        <v>0</v>
      </c>
      <c r="BJ69" s="14">
        <f t="shared" si="53"/>
        <v>1</v>
      </c>
      <c r="BK69" s="14"/>
      <c r="BL69" s="14"/>
      <c r="BM69" s="14">
        <f t="shared" si="54"/>
        <v>1</v>
      </c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G69" s="239"/>
      <c r="CH69" s="239"/>
      <c r="CI69" s="239"/>
      <c r="CJ69" s="239"/>
      <c r="CK69" s="373" t="str">
        <f t="shared" si="44"/>
        <v>M2</v>
      </c>
      <c r="CL69" s="69">
        <f t="shared" si="45"/>
        <v>6.416889461039844</v>
      </c>
      <c r="CM69" s="69">
        <f t="shared" si="46"/>
        <v>0</v>
      </c>
      <c r="CN69" s="69">
        <f t="shared" si="47"/>
        <v>0</v>
      </c>
      <c r="CO69" s="70">
        <f t="shared" si="48"/>
        <v>0</v>
      </c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9"/>
      <c r="DA69" s="239"/>
      <c r="DB69" s="239"/>
      <c r="DC69" s="239"/>
    </row>
    <row r="70" spans="1:107" s="1" customFormat="1" ht="12.75">
      <c r="A70" s="239"/>
      <c r="B70" s="96" t="str">
        <f t="shared" si="49"/>
        <v>M3</v>
      </c>
      <c r="C70" s="212">
        <f t="shared" si="49"/>
        <v>11</v>
      </c>
      <c r="D70" s="212">
        <f t="shared" si="49"/>
        <v>80</v>
      </c>
      <c r="E70" s="212">
        <f t="shared" si="34"/>
        <v>22</v>
      </c>
      <c r="F70" s="212">
        <f t="shared" si="34"/>
        <v>28</v>
      </c>
      <c r="G70" s="73">
        <f t="shared" si="34"/>
        <v>12.02220555947518</v>
      </c>
      <c r="H70" s="73">
        <f t="shared" si="31"/>
        <v>32.09785516907879</v>
      </c>
      <c r="I70" s="71">
        <f t="shared" si="35"/>
        <v>-4.097855169078791</v>
      </c>
      <c r="J70" s="212"/>
      <c r="K70" s="212"/>
      <c r="L70" s="71">
        <f t="shared" si="50"/>
        <v>-4.097855169078791</v>
      </c>
      <c r="M70" s="73">
        <f t="shared" si="36"/>
        <v>120.96858647113683</v>
      </c>
      <c r="N70" s="73">
        <f t="shared" si="51"/>
        <v>-4.031413528863169</v>
      </c>
      <c r="O70" s="71">
        <f t="shared" si="37"/>
        <v>32.03141352886317</v>
      </c>
      <c r="P70" s="71">
        <f t="shared" si="38"/>
        <v>0.06644164021562204</v>
      </c>
      <c r="Q70" s="74">
        <f t="shared" si="39"/>
        <v>0</v>
      </c>
      <c r="R70" s="239"/>
      <c r="S70" s="239"/>
      <c r="T70" s="239"/>
      <c r="U70" s="239"/>
      <c r="V70" s="239"/>
      <c r="W70" s="69"/>
      <c r="X70" s="69"/>
      <c r="Y70" s="239"/>
      <c r="Z70" s="68" t="str">
        <f t="shared" si="55"/>
        <v>M3</v>
      </c>
      <c r="AA70" s="97">
        <f t="shared" si="40"/>
        <v>28</v>
      </c>
      <c r="AB70" s="97">
        <f t="shared" si="41"/>
        <v>32.09785516907879</v>
      </c>
      <c r="AC70" s="70">
        <f t="shared" si="42"/>
        <v>32.03141352886317</v>
      </c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13"/>
      <c r="AW70" s="13"/>
      <c r="AX70" s="13"/>
      <c r="AY70" s="13"/>
      <c r="AZ70" s="13"/>
      <c r="BA70" s="13"/>
      <c r="BB70" s="13"/>
      <c r="BC70" s="71">
        <f t="shared" si="32"/>
        <v>0</v>
      </c>
      <c r="BD70" s="71">
        <f t="shared" si="33"/>
        <v>0</v>
      </c>
      <c r="BG70" s="14">
        <f t="shared" si="52"/>
        <v>120.96858647113683</v>
      </c>
      <c r="BH70" s="6"/>
      <c r="BI70" s="14">
        <f t="shared" si="43"/>
        <v>0</v>
      </c>
      <c r="BJ70" s="14">
        <f t="shared" si="53"/>
        <v>1</v>
      </c>
      <c r="BK70" s="14"/>
      <c r="BL70" s="14"/>
      <c r="BM70" s="14">
        <f t="shared" si="54"/>
        <v>1</v>
      </c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G70" s="239"/>
      <c r="CH70" s="239"/>
      <c r="CI70" s="239"/>
      <c r="CJ70" s="239"/>
      <c r="CK70" s="373" t="str">
        <f t="shared" si="44"/>
        <v>M3</v>
      </c>
      <c r="CL70" s="69">
        <f t="shared" si="45"/>
        <v>0</v>
      </c>
      <c r="CM70" s="69">
        <f t="shared" si="46"/>
        <v>-0.06644164021562204</v>
      </c>
      <c r="CN70" s="69">
        <f t="shared" si="47"/>
        <v>-4.031413528863169</v>
      </c>
      <c r="CO70" s="70">
        <f t="shared" si="48"/>
        <v>0</v>
      </c>
      <c r="CP70" s="239"/>
      <c r="CQ70" s="239"/>
      <c r="CR70" s="239"/>
      <c r="CS70" s="239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</row>
    <row r="71" spans="1:107" s="1" customFormat="1" ht="12.75">
      <c r="A71" s="239"/>
      <c r="B71" s="96" t="str">
        <f t="shared" si="49"/>
        <v>A1</v>
      </c>
      <c r="C71" s="212">
        <f t="shared" si="49"/>
        <v>10</v>
      </c>
      <c r="D71" s="212">
        <f t="shared" si="49"/>
        <v>91</v>
      </c>
      <c r="E71" s="212">
        <f t="shared" si="34"/>
        <v>21.8</v>
      </c>
      <c r="F71" s="212">
        <f t="shared" si="34"/>
        <v>33.4</v>
      </c>
      <c r="G71" s="73">
        <f t="shared" si="34"/>
        <v>11.77863882281631</v>
      </c>
      <c r="H71" s="73">
        <f t="shared" si="31"/>
        <v>27.97228195299317</v>
      </c>
      <c r="I71" s="71">
        <f t="shared" si="35"/>
        <v>5.427718047006827</v>
      </c>
      <c r="J71" s="212"/>
      <c r="K71" s="212"/>
      <c r="L71" s="71">
        <f t="shared" si="50"/>
        <v>0</v>
      </c>
      <c r="M71" s="73">
        <f t="shared" si="36"/>
        <v>125</v>
      </c>
      <c r="N71" s="73">
        <f t="shared" si="51"/>
        <v>4.031413528863169</v>
      </c>
      <c r="O71" s="71">
        <f t="shared" si="37"/>
        <v>27.97228195299317</v>
      </c>
      <c r="P71" s="71">
        <f t="shared" si="38"/>
        <v>0</v>
      </c>
      <c r="Q71" s="74">
        <f t="shared" si="39"/>
        <v>1.3963045181436584</v>
      </c>
      <c r="R71" s="239"/>
      <c r="S71" s="239"/>
      <c r="T71" s="239"/>
      <c r="U71" s="239"/>
      <c r="V71" s="239"/>
      <c r="W71" s="69"/>
      <c r="X71" s="69"/>
      <c r="Y71" s="239"/>
      <c r="Z71" s="68" t="str">
        <f t="shared" si="55"/>
        <v>A1</v>
      </c>
      <c r="AA71" s="97">
        <f t="shared" si="40"/>
        <v>33.4</v>
      </c>
      <c r="AB71" s="97">
        <f t="shared" si="41"/>
        <v>27.97228195299317</v>
      </c>
      <c r="AC71" s="70">
        <f t="shared" si="42"/>
        <v>27.97228195299317</v>
      </c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13"/>
      <c r="AW71" s="13"/>
      <c r="AX71" s="13"/>
      <c r="AY71" s="13"/>
      <c r="AZ71" s="13"/>
      <c r="BA71" s="13"/>
      <c r="BB71" s="13"/>
      <c r="BC71" s="71">
        <f t="shared" si="32"/>
        <v>0</v>
      </c>
      <c r="BD71" s="71">
        <f t="shared" si="33"/>
        <v>0</v>
      </c>
      <c r="BG71" s="14">
        <f t="shared" si="52"/>
        <v>126.39630451814367</v>
      </c>
      <c r="BH71" s="6"/>
      <c r="BI71" s="14">
        <f t="shared" si="43"/>
        <v>0</v>
      </c>
      <c r="BJ71" s="14">
        <f t="shared" si="53"/>
        <v>1</v>
      </c>
      <c r="BK71" s="14"/>
      <c r="BL71" s="14"/>
      <c r="BM71" s="14">
        <f t="shared" si="54"/>
        <v>1</v>
      </c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G71" s="239"/>
      <c r="CH71" s="239"/>
      <c r="CI71" s="239"/>
      <c r="CJ71" s="239"/>
      <c r="CK71" s="373" t="str">
        <f t="shared" si="44"/>
        <v>A1</v>
      </c>
      <c r="CL71" s="69">
        <f t="shared" si="45"/>
        <v>1.3963045181436584</v>
      </c>
      <c r="CM71" s="69">
        <f t="shared" si="46"/>
        <v>0</v>
      </c>
      <c r="CN71" s="69">
        <f t="shared" si="47"/>
        <v>0</v>
      </c>
      <c r="CO71" s="70">
        <f t="shared" si="48"/>
        <v>4.031413528863169</v>
      </c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</row>
    <row r="72" spans="1:107" s="1" customFormat="1" ht="12.75">
      <c r="A72" s="239"/>
      <c r="B72" s="96" t="str">
        <f t="shared" si="49"/>
        <v>A2</v>
      </c>
      <c r="C72" s="212">
        <f t="shared" si="49"/>
        <v>10</v>
      </c>
      <c r="D72" s="212">
        <f t="shared" si="49"/>
        <v>101</v>
      </c>
      <c r="E72" s="212">
        <f t="shared" si="34"/>
        <v>21</v>
      </c>
      <c r="F72" s="212">
        <f t="shared" si="34"/>
        <v>21.9</v>
      </c>
      <c r="G72" s="73">
        <f t="shared" si="34"/>
        <v>11.561565257107253</v>
      </c>
      <c r="H72" s="73">
        <f t="shared" si="31"/>
        <v>25.11278789496751</v>
      </c>
      <c r="I72" s="71">
        <f t="shared" si="35"/>
        <v>-3.212787894967512</v>
      </c>
      <c r="J72" s="212"/>
      <c r="K72" s="212"/>
      <c r="L72" s="71">
        <f t="shared" si="50"/>
        <v>-3.212787894967512</v>
      </c>
      <c r="M72" s="73">
        <f t="shared" si="36"/>
        <v>121.82814865812666</v>
      </c>
      <c r="N72" s="73">
        <f t="shared" si="51"/>
        <v>-3.171851341873335</v>
      </c>
      <c r="O72" s="71">
        <f t="shared" si="37"/>
        <v>25.071851341873334</v>
      </c>
      <c r="P72" s="71">
        <f t="shared" si="38"/>
        <v>0.040936553094176986</v>
      </c>
      <c r="Q72" s="74">
        <f t="shared" si="39"/>
        <v>0</v>
      </c>
      <c r="R72" s="239"/>
      <c r="S72" s="239"/>
      <c r="T72" s="239"/>
      <c r="U72" s="239"/>
      <c r="V72" s="239"/>
      <c r="W72" s="69"/>
      <c r="X72" s="69"/>
      <c r="Y72" s="239"/>
      <c r="Z72" s="68" t="str">
        <f t="shared" si="55"/>
        <v>A2</v>
      </c>
      <c r="AA72" s="97">
        <f t="shared" si="40"/>
        <v>21.9</v>
      </c>
      <c r="AB72" s="97">
        <f t="shared" si="41"/>
        <v>25.11278789496751</v>
      </c>
      <c r="AC72" s="70">
        <f t="shared" si="42"/>
        <v>25.071851341873334</v>
      </c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13"/>
      <c r="AW72" s="13"/>
      <c r="AX72" s="13"/>
      <c r="AY72" s="13"/>
      <c r="AZ72" s="13"/>
      <c r="BA72" s="13"/>
      <c r="BB72" s="13"/>
      <c r="BC72" s="71">
        <f t="shared" si="32"/>
        <v>0</v>
      </c>
      <c r="BD72" s="71">
        <f t="shared" si="33"/>
        <v>0</v>
      </c>
      <c r="BG72" s="14">
        <f t="shared" si="52"/>
        <v>121.82814865812666</v>
      </c>
      <c r="BH72" s="6"/>
      <c r="BI72" s="14">
        <f t="shared" si="43"/>
        <v>0</v>
      </c>
      <c r="BJ72" s="14">
        <f t="shared" si="53"/>
        <v>1</v>
      </c>
      <c r="BK72" s="14"/>
      <c r="BL72" s="14"/>
      <c r="BM72" s="14">
        <f t="shared" si="54"/>
        <v>1</v>
      </c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G72" s="239"/>
      <c r="CH72" s="239"/>
      <c r="CI72" s="239"/>
      <c r="CJ72" s="239"/>
      <c r="CK72" s="373" t="str">
        <f t="shared" si="44"/>
        <v>A2</v>
      </c>
      <c r="CL72" s="69">
        <f t="shared" si="45"/>
        <v>0</v>
      </c>
      <c r="CM72" s="69">
        <f t="shared" si="46"/>
        <v>-0.040936553094176986</v>
      </c>
      <c r="CN72" s="69">
        <f t="shared" si="47"/>
        <v>-3.171851341873335</v>
      </c>
      <c r="CO72" s="70">
        <f t="shared" si="48"/>
        <v>0</v>
      </c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</row>
    <row r="73" spans="1:107" s="1" customFormat="1" ht="12.75">
      <c r="A73" s="239"/>
      <c r="B73" s="96" t="str">
        <f t="shared" si="49"/>
        <v>A3</v>
      </c>
      <c r="C73" s="212">
        <f t="shared" si="49"/>
        <v>10</v>
      </c>
      <c r="D73" s="212">
        <f t="shared" si="49"/>
        <v>111</v>
      </c>
      <c r="E73" s="212">
        <f t="shared" si="34"/>
        <v>21.2</v>
      </c>
      <c r="F73" s="212">
        <f t="shared" si="34"/>
        <v>10.4</v>
      </c>
      <c r="G73" s="73">
        <f t="shared" si="34"/>
        <v>11.353444330375025</v>
      </c>
      <c r="H73" s="73">
        <f t="shared" si="31"/>
        <v>25.225003504189353</v>
      </c>
      <c r="I73" s="71">
        <f t="shared" si="35"/>
        <v>-14.825003504189352</v>
      </c>
      <c r="J73" s="212"/>
      <c r="K73" s="212"/>
      <c r="L73" s="71">
        <f t="shared" si="50"/>
        <v>-18.037791399156866</v>
      </c>
      <c r="M73" s="73">
        <f t="shared" si="36"/>
        <v>108.20325034399859</v>
      </c>
      <c r="N73" s="73">
        <f t="shared" si="51"/>
        <v>-13.624898314128075</v>
      </c>
      <c r="O73" s="71">
        <f t="shared" si="37"/>
        <v>24.024898314128073</v>
      </c>
      <c r="P73" s="71">
        <f t="shared" si="38"/>
        <v>1.2001051900612794</v>
      </c>
      <c r="Q73" s="74">
        <f t="shared" si="39"/>
        <v>0</v>
      </c>
      <c r="R73" s="239"/>
      <c r="S73" s="239"/>
      <c r="T73" s="239"/>
      <c r="U73" s="239"/>
      <c r="V73" s="239"/>
      <c r="W73" s="69"/>
      <c r="X73" s="69"/>
      <c r="Y73" s="239"/>
      <c r="Z73" s="68" t="str">
        <f t="shared" si="55"/>
        <v>A3</v>
      </c>
      <c r="AA73" s="97">
        <f t="shared" si="40"/>
        <v>10.4</v>
      </c>
      <c r="AB73" s="97">
        <f t="shared" si="41"/>
        <v>25.225003504189353</v>
      </c>
      <c r="AC73" s="70">
        <f t="shared" si="42"/>
        <v>24.024898314128073</v>
      </c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13"/>
      <c r="AW73" s="13"/>
      <c r="AX73" s="13"/>
      <c r="AY73" s="13"/>
      <c r="AZ73" s="13"/>
      <c r="BA73" s="13"/>
      <c r="BB73" s="13"/>
      <c r="BC73" s="71">
        <f t="shared" si="32"/>
        <v>12.807653516199025</v>
      </c>
      <c r="BD73" s="71">
        <f t="shared" si="33"/>
        <v>12.807653516199025</v>
      </c>
      <c r="BG73" s="14">
        <f t="shared" si="52"/>
        <v>108.20325034399859</v>
      </c>
      <c r="BH73" s="6"/>
      <c r="BI73" s="14">
        <f t="shared" si="43"/>
        <v>0</v>
      </c>
      <c r="BJ73" s="14">
        <f t="shared" si="53"/>
        <v>1</v>
      </c>
      <c r="BK73" s="14"/>
      <c r="BL73" s="14"/>
      <c r="BM73" s="14">
        <f t="shared" si="54"/>
        <v>1</v>
      </c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G73" s="239"/>
      <c r="CH73" s="239"/>
      <c r="CI73" s="239"/>
      <c r="CJ73" s="239"/>
      <c r="CK73" s="373" t="str">
        <f t="shared" si="44"/>
        <v>A3</v>
      </c>
      <c r="CL73" s="69">
        <f t="shared" si="45"/>
        <v>0</v>
      </c>
      <c r="CM73" s="69">
        <f t="shared" si="46"/>
        <v>-1.2001051900612794</v>
      </c>
      <c r="CN73" s="69">
        <f t="shared" si="47"/>
        <v>-13.624898314128075</v>
      </c>
      <c r="CO73" s="70">
        <f t="shared" si="48"/>
        <v>0</v>
      </c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</row>
    <row r="74" spans="1:107" s="1" customFormat="1" ht="12.75">
      <c r="A74" s="239"/>
      <c r="B74" s="96" t="str">
        <f t="shared" si="49"/>
        <v>M1</v>
      </c>
      <c r="C74" s="212">
        <f t="shared" si="49"/>
        <v>10</v>
      </c>
      <c r="D74" s="212">
        <f t="shared" si="49"/>
        <v>121</v>
      </c>
      <c r="E74" s="212">
        <f t="shared" si="34"/>
        <v>20</v>
      </c>
      <c r="F74" s="212">
        <f t="shared" si="34"/>
        <v>12.6</v>
      </c>
      <c r="G74" s="73">
        <f t="shared" si="34"/>
        <v>11.15960624403918</v>
      </c>
      <c r="H74" s="73">
        <f t="shared" si="31"/>
        <v>21.57511554470225</v>
      </c>
      <c r="I74" s="71">
        <f t="shared" si="35"/>
        <v>-8.97511554470225</v>
      </c>
      <c r="J74" s="212"/>
      <c r="K74" s="212"/>
      <c r="L74" s="71">
        <f t="shared" si="50"/>
        <v>-27.012906943859115</v>
      </c>
      <c r="M74" s="73">
        <f t="shared" si="36"/>
        <v>100.70651369076708</v>
      </c>
      <c r="N74" s="73">
        <f t="shared" si="51"/>
        <v>-7.496736653231508</v>
      </c>
      <c r="O74" s="71">
        <f t="shared" si="37"/>
        <v>20.09673665323151</v>
      </c>
      <c r="P74" s="71">
        <f t="shared" si="38"/>
        <v>1.47837889147074</v>
      </c>
      <c r="Q74" s="74">
        <f t="shared" si="39"/>
        <v>0</v>
      </c>
      <c r="R74" s="239"/>
      <c r="S74" s="239"/>
      <c r="T74" s="239"/>
      <c r="U74" s="239"/>
      <c r="V74" s="239"/>
      <c r="W74" s="69"/>
      <c r="X74" s="69"/>
      <c r="Y74" s="239"/>
      <c r="Z74" s="68" t="str">
        <f t="shared" si="55"/>
        <v>M1</v>
      </c>
      <c r="AA74" s="97">
        <f t="shared" si="40"/>
        <v>12.6</v>
      </c>
      <c r="AB74" s="97">
        <f t="shared" si="41"/>
        <v>21.57511554470225</v>
      </c>
      <c r="AC74" s="70">
        <f t="shared" si="42"/>
        <v>20.09673665323151</v>
      </c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13"/>
      <c r="AW74" s="13"/>
      <c r="AX74" s="13"/>
      <c r="AY74" s="13"/>
      <c r="AZ74" s="13"/>
      <c r="BA74" s="13"/>
      <c r="BB74" s="13"/>
      <c r="BC74" s="71">
        <f t="shared" si="32"/>
        <v>0</v>
      </c>
      <c r="BD74" s="71">
        <f t="shared" si="33"/>
        <v>0</v>
      </c>
      <c r="BG74" s="14">
        <f t="shared" si="52"/>
        <v>100.70651369076708</v>
      </c>
      <c r="BH74" s="6"/>
      <c r="BI74" s="14">
        <f t="shared" si="43"/>
        <v>0</v>
      </c>
      <c r="BJ74" s="14">
        <f t="shared" si="53"/>
        <v>1</v>
      </c>
      <c r="BK74" s="14"/>
      <c r="BL74" s="14"/>
      <c r="BM74" s="14">
        <f t="shared" si="54"/>
        <v>1</v>
      </c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G74" s="239"/>
      <c r="CH74" s="239"/>
      <c r="CI74" s="239"/>
      <c r="CJ74" s="239"/>
      <c r="CK74" s="373" t="str">
        <f t="shared" si="44"/>
        <v>M1</v>
      </c>
      <c r="CL74" s="69">
        <f t="shared" si="45"/>
        <v>0</v>
      </c>
      <c r="CM74" s="69">
        <f t="shared" si="46"/>
        <v>-1.47837889147074</v>
      </c>
      <c r="CN74" s="69">
        <f t="shared" si="47"/>
        <v>-7.496736653231508</v>
      </c>
      <c r="CO74" s="70">
        <f t="shared" si="48"/>
        <v>0</v>
      </c>
      <c r="CP74" s="239"/>
      <c r="CQ74" s="239"/>
      <c r="CR74" s="239"/>
      <c r="CS74" s="239"/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</row>
    <row r="75" spans="1:107" s="1" customFormat="1" ht="12.75">
      <c r="A75" s="239"/>
      <c r="B75" s="96" t="str">
        <f t="shared" si="49"/>
        <v>M2</v>
      </c>
      <c r="C75" s="212">
        <f t="shared" si="49"/>
        <v>10</v>
      </c>
      <c r="D75" s="212">
        <f t="shared" si="49"/>
        <v>131</v>
      </c>
      <c r="E75" s="212">
        <f t="shared" si="34"/>
        <v>19</v>
      </c>
      <c r="F75" s="212">
        <f t="shared" si="34"/>
        <v>31.6</v>
      </c>
      <c r="G75" s="73">
        <f t="shared" si="34"/>
        <v>10.986147782587851</v>
      </c>
      <c r="H75" s="73">
        <f t="shared" si="31"/>
        <v>18.792346483800976</v>
      </c>
      <c r="I75" s="71">
        <f t="shared" si="35"/>
        <v>12.807653516199025</v>
      </c>
      <c r="J75" s="212"/>
      <c r="K75" s="212"/>
      <c r="L75" s="71">
        <f t="shared" si="50"/>
        <v>-12.048260870451564</v>
      </c>
      <c r="M75" s="73">
        <f t="shared" si="36"/>
        <v>113.5141672069661</v>
      </c>
      <c r="N75" s="73">
        <f t="shared" si="51"/>
        <v>12.807653516199025</v>
      </c>
      <c r="O75" s="71">
        <f t="shared" si="37"/>
        <v>18.792346483800976</v>
      </c>
      <c r="P75" s="71">
        <f t="shared" si="38"/>
        <v>0</v>
      </c>
      <c r="Q75" s="74">
        <f t="shared" si="39"/>
        <v>0</v>
      </c>
      <c r="R75" s="239"/>
      <c r="S75" s="239"/>
      <c r="T75" s="239"/>
      <c r="U75" s="239"/>
      <c r="V75" s="239"/>
      <c r="W75" s="282"/>
      <c r="X75" s="282"/>
      <c r="Y75" s="239"/>
      <c r="Z75" s="68" t="str">
        <f t="shared" si="55"/>
        <v>M2</v>
      </c>
      <c r="AA75" s="97">
        <f t="shared" si="40"/>
        <v>31.6</v>
      </c>
      <c r="AB75" s="97">
        <f t="shared" si="41"/>
        <v>18.792346483800976</v>
      </c>
      <c r="AC75" s="70">
        <f t="shared" si="42"/>
        <v>18.792346483800976</v>
      </c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13"/>
      <c r="AW75" s="13"/>
      <c r="AX75" s="13"/>
      <c r="AY75" s="13"/>
      <c r="AZ75" s="13"/>
      <c r="BA75" s="13"/>
      <c r="BB75" s="13"/>
      <c r="BC75" s="71">
        <f t="shared" si="32"/>
        <v>0</v>
      </c>
      <c r="BD75" s="71">
        <f t="shared" si="33"/>
        <v>0</v>
      </c>
      <c r="BG75" s="14">
        <f t="shared" si="52"/>
        <v>113.5141672069661</v>
      </c>
      <c r="BH75" s="6"/>
      <c r="BI75" s="14">
        <f t="shared" si="43"/>
        <v>0</v>
      </c>
      <c r="BJ75" s="14">
        <f t="shared" si="53"/>
        <v>1</v>
      </c>
      <c r="BK75" s="14"/>
      <c r="BL75" s="14"/>
      <c r="BM75" s="14">
        <f t="shared" si="54"/>
        <v>1</v>
      </c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G75" s="239"/>
      <c r="CH75" s="239"/>
      <c r="CI75" s="239"/>
      <c r="CJ75" s="239"/>
      <c r="CK75" s="373" t="str">
        <f t="shared" si="44"/>
        <v>M2</v>
      </c>
      <c r="CL75" s="69">
        <f t="shared" si="45"/>
        <v>0</v>
      </c>
      <c r="CM75" s="69">
        <f t="shared" si="46"/>
        <v>0</v>
      </c>
      <c r="CN75" s="69">
        <f t="shared" si="47"/>
        <v>0</v>
      </c>
      <c r="CO75" s="70">
        <f t="shared" si="48"/>
        <v>12.807653516199025</v>
      </c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</row>
    <row r="76" spans="1:107" s="1" customFormat="1" ht="12.75">
      <c r="A76" s="239"/>
      <c r="B76" s="96" t="str">
        <f t="shared" si="49"/>
        <v>M3</v>
      </c>
      <c r="C76" s="212">
        <f t="shared" si="49"/>
        <v>11</v>
      </c>
      <c r="D76" s="212">
        <f t="shared" si="49"/>
        <v>141</v>
      </c>
      <c r="E76" s="212">
        <f t="shared" si="34"/>
        <v>18.6</v>
      </c>
      <c r="F76" s="212">
        <f t="shared" si="34"/>
        <v>8.1</v>
      </c>
      <c r="G76" s="73">
        <f t="shared" si="34"/>
        <v>10.83975261080877</v>
      </c>
      <c r="H76" s="73">
        <f t="shared" si="31"/>
        <v>19.38618199683976</v>
      </c>
      <c r="I76" s="71">
        <f t="shared" si="35"/>
        <v>-11.28618199683976</v>
      </c>
      <c r="J76" s="212"/>
      <c r="K76" s="212"/>
      <c r="L76" s="71">
        <f t="shared" si="50"/>
        <v>-23.334442867291322</v>
      </c>
      <c r="M76" s="73">
        <f t="shared" si="36"/>
        <v>103.71411236580175</v>
      </c>
      <c r="N76" s="73">
        <f t="shared" si="51"/>
        <v>-9.800054841164354</v>
      </c>
      <c r="O76" s="71">
        <f t="shared" si="37"/>
        <v>17.900054841164355</v>
      </c>
      <c r="P76" s="71">
        <f t="shared" si="38"/>
        <v>1.4861271556754048</v>
      </c>
      <c r="Q76" s="74">
        <f t="shared" si="39"/>
        <v>0</v>
      </c>
      <c r="R76" s="239"/>
      <c r="S76" s="239"/>
      <c r="T76" s="239"/>
      <c r="U76" s="239"/>
      <c r="V76" s="239"/>
      <c r="W76" s="282"/>
      <c r="X76" s="282"/>
      <c r="Y76" s="239"/>
      <c r="Z76" s="68" t="str">
        <f t="shared" si="55"/>
        <v>M3</v>
      </c>
      <c r="AA76" s="97">
        <f t="shared" si="40"/>
        <v>8.1</v>
      </c>
      <c r="AB76" s="97">
        <f t="shared" si="41"/>
        <v>19.38618199683976</v>
      </c>
      <c r="AC76" s="70">
        <f t="shared" si="42"/>
        <v>17.900054841164355</v>
      </c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13"/>
      <c r="AW76" s="13"/>
      <c r="AX76" s="13"/>
      <c r="AY76" s="13"/>
      <c r="AZ76" s="13"/>
      <c r="BA76" s="13"/>
      <c r="BB76" s="13"/>
      <c r="BC76" s="71">
        <f t="shared" si="32"/>
        <v>6.530055933083663</v>
      </c>
      <c r="BD76" s="71">
        <f t="shared" si="33"/>
        <v>6.530055933083663</v>
      </c>
      <c r="BG76" s="14">
        <f t="shared" si="52"/>
        <v>103.71411236580175</v>
      </c>
      <c r="BH76" s="6"/>
      <c r="BI76" s="14">
        <f t="shared" si="43"/>
        <v>0</v>
      </c>
      <c r="BJ76" s="14">
        <f t="shared" si="53"/>
        <v>1</v>
      </c>
      <c r="BK76" s="14"/>
      <c r="BL76" s="14"/>
      <c r="BM76" s="14">
        <f t="shared" si="54"/>
        <v>1</v>
      </c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G76" s="239"/>
      <c r="CH76" s="239"/>
      <c r="CI76" s="239"/>
      <c r="CJ76" s="239"/>
      <c r="CK76" s="373" t="str">
        <f t="shared" si="44"/>
        <v>M3</v>
      </c>
      <c r="CL76" s="69">
        <f t="shared" si="45"/>
        <v>0</v>
      </c>
      <c r="CM76" s="69">
        <f t="shared" si="46"/>
        <v>-1.4861271556754048</v>
      </c>
      <c r="CN76" s="69">
        <f t="shared" si="47"/>
        <v>-9.800054841164354</v>
      </c>
      <c r="CO76" s="70">
        <f t="shared" si="48"/>
        <v>0</v>
      </c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</row>
    <row r="77" spans="1:107" s="1" customFormat="1" ht="12.75">
      <c r="A77" s="239"/>
      <c r="B77" s="96" t="str">
        <f t="shared" si="49"/>
        <v>J1</v>
      </c>
      <c r="C77" s="212">
        <f t="shared" si="49"/>
        <v>10</v>
      </c>
      <c r="D77" s="212">
        <f t="shared" si="49"/>
        <v>152</v>
      </c>
      <c r="E77" s="212">
        <f t="shared" si="34"/>
        <v>18</v>
      </c>
      <c r="F77" s="212">
        <f t="shared" si="34"/>
        <v>15.6</v>
      </c>
      <c r="G77" s="73">
        <f t="shared" si="34"/>
        <v>10.718017557836934</v>
      </c>
      <c r="H77" s="73">
        <f t="shared" si="31"/>
        <v>16.11409822097066</v>
      </c>
      <c r="I77" s="71">
        <f t="shared" si="35"/>
        <v>-0.514098220970661</v>
      </c>
      <c r="J77" s="212"/>
      <c r="K77" s="212"/>
      <c r="L77" s="71">
        <f t="shared" si="50"/>
        <v>-23.84854108826198</v>
      </c>
      <c r="M77" s="73">
        <f t="shared" si="36"/>
        <v>103.28843440171208</v>
      </c>
      <c r="N77" s="73">
        <f t="shared" si="51"/>
        <v>-0.4256779640896724</v>
      </c>
      <c r="O77" s="71">
        <f t="shared" si="37"/>
        <v>16.025677964089674</v>
      </c>
      <c r="P77" s="71">
        <f t="shared" si="38"/>
        <v>0.08842025688098687</v>
      </c>
      <c r="Q77" s="74">
        <f t="shared" si="39"/>
        <v>0</v>
      </c>
      <c r="R77" s="239"/>
      <c r="S77" s="239"/>
      <c r="T77" s="239"/>
      <c r="U77" s="239"/>
      <c r="V77" s="239"/>
      <c r="W77" s="69"/>
      <c r="X77" s="69"/>
      <c r="Y77" s="239"/>
      <c r="Z77" s="68" t="str">
        <f t="shared" si="55"/>
        <v>J1</v>
      </c>
      <c r="AA77" s="97">
        <f t="shared" si="40"/>
        <v>15.6</v>
      </c>
      <c r="AB77" s="97">
        <f t="shared" si="41"/>
        <v>16.11409822097066</v>
      </c>
      <c r="AC77" s="70">
        <f t="shared" si="42"/>
        <v>16.025677964089674</v>
      </c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13"/>
      <c r="AW77" s="13"/>
      <c r="AX77" s="13"/>
      <c r="AY77" s="13"/>
      <c r="AZ77" s="13"/>
      <c r="BA77" s="13"/>
      <c r="BB77" s="13"/>
      <c r="BC77" s="71">
        <f t="shared" si="32"/>
        <v>0</v>
      </c>
      <c r="BD77" s="71">
        <f t="shared" si="33"/>
        <v>0</v>
      </c>
      <c r="BG77" s="14">
        <f t="shared" si="52"/>
        <v>103.28843440171208</v>
      </c>
      <c r="BH77" s="6"/>
      <c r="BI77" s="14">
        <f t="shared" si="43"/>
        <v>0</v>
      </c>
      <c r="BJ77" s="14">
        <f t="shared" si="53"/>
        <v>1</v>
      </c>
      <c r="BK77" s="14"/>
      <c r="BL77" s="14"/>
      <c r="BM77" s="14">
        <f t="shared" si="54"/>
        <v>1</v>
      </c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G77" s="239"/>
      <c r="CH77" s="239"/>
      <c r="CI77" s="239"/>
      <c r="CJ77" s="239"/>
      <c r="CK77" s="373" t="str">
        <f t="shared" si="44"/>
        <v>J1</v>
      </c>
      <c r="CL77" s="69">
        <f t="shared" si="45"/>
        <v>0</v>
      </c>
      <c r="CM77" s="69">
        <f t="shared" si="46"/>
        <v>-0.08842025688098687</v>
      </c>
      <c r="CN77" s="69">
        <f t="shared" si="47"/>
        <v>-0.4256779640896724</v>
      </c>
      <c r="CO77" s="70">
        <f t="shared" si="48"/>
        <v>0</v>
      </c>
      <c r="CP77" s="239"/>
      <c r="CQ77" s="239"/>
      <c r="CR77" s="239"/>
      <c r="CS77" s="239"/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</row>
    <row r="78" spans="1:107" s="1" customFormat="1" ht="12.75">
      <c r="A78" s="239"/>
      <c r="B78" s="96" t="str">
        <f t="shared" si="49"/>
        <v>J2</v>
      </c>
      <c r="C78" s="212">
        <f t="shared" si="49"/>
        <v>10</v>
      </c>
      <c r="D78" s="212">
        <f t="shared" si="49"/>
        <v>162</v>
      </c>
      <c r="E78" s="212">
        <f t="shared" si="34"/>
        <v>17.5</v>
      </c>
      <c r="F78" s="212">
        <f t="shared" si="34"/>
        <v>21.5</v>
      </c>
      <c r="G78" s="73">
        <f t="shared" si="34"/>
        <v>10.649506881966717</v>
      </c>
      <c r="H78" s="73">
        <f t="shared" si="31"/>
        <v>14.969944066916337</v>
      </c>
      <c r="I78" s="71">
        <f t="shared" si="35"/>
        <v>6.530055933083663</v>
      </c>
      <c r="J78" s="212"/>
      <c r="K78" s="212"/>
      <c r="L78" s="71">
        <f t="shared" si="50"/>
        <v>-16.185602783728772</v>
      </c>
      <c r="M78" s="73">
        <f t="shared" si="36"/>
        <v>109.81849033479574</v>
      </c>
      <c r="N78" s="73">
        <f t="shared" si="51"/>
        <v>6.530055933083659</v>
      </c>
      <c r="O78" s="71">
        <f t="shared" si="37"/>
        <v>14.969944066916337</v>
      </c>
      <c r="P78" s="71">
        <f t="shared" si="38"/>
        <v>0</v>
      </c>
      <c r="Q78" s="74">
        <f t="shared" si="39"/>
        <v>0</v>
      </c>
      <c r="R78" s="239"/>
      <c r="S78" s="239"/>
      <c r="T78" s="239"/>
      <c r="U78" s="239"/>
      <c r="V78" s="239"/>
      <c r="W78" s="69"/>
      <c r="X78" s="69"/>
      <c r="Y78" s="239"/>
      <c r="Z78" s="68" t="str">
        <f t="shared" si="55"/>
        <v>J2</v>
      </c>
      <c r="AA78" s="97">
        <f t="shared" si="40"/>
        <v>21.5</v>
      </c>
      <c r="AB78" s="97">
        <f t="shared" si="41"/>
        <v>14.969944066916337</v>
      </c>
      <c r="AC78" s="70">
        <f t="shared" si="42"/>
        <v>14.969944066916337</v>
      </c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13"/>
      <c r="AW78" s="13"/>
      <c r="AX78" s="13"/>
      <c r="AY78" s="13"/>
      <c r="AZ78" s="13"/>
      <c r="BA78" s="13"/>
      <c r="BB78" s="13"/>
      <c r="BC78" s="71">
        <f t="shared" si="32"/>
        <v>5.0337549899577745</v>
      </c>
      <c r="BD78" s="71">
        <f t="shared" si="33"/>
        <v>5.0337549899577745</v>
      </c>
      <c r="BG78" s="14">
        <f t="shared" si="52"/>
        <v>109.81849033479574</v>
      </c>
      <c r="BH78" s="6"/>
      <c r="BI78" s="14">
        <f t="shared" si="43"/>
        <v>0</v>
      </c>
      <c r="BJ78" s="14">
        <f t="shared" si="53"/>
        <v>1</v>
      </c>
      <c r="BK78" s="14"/>
      <c r="BL78" s="14"/>
      <c r="BM78" s="14">
        <f t="shared" si="54"/>
        <v>1</v>
      </c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G78" s="239"/>
      <c r="CH78" s="239"/>
      <c r="CI78" s="239"/>
      <c r="CJ78" s="239"/>
      <c r="CK78" s="373" t="str">
        <f t="shared" si="44"/>
        <v>J2</v>
      </c>
      <c r="CL78" s="69">
        <f t="shared" si="45"/>
        <v>0</v>
      </c>
      <c r="CM78" s="69">
        <f t="shared" si="46"/>
        <v>0</v>
      </c>
      <c r="CN78" s="69">
        <f t="shared" si="47"/>
        <v>0</v>
      </c>
      <c r="CO78" s="70">
        <f t="shared" si="48"/>
        <v>6.530055933083659</v>
      </c>
      <c r="CP78" s="239"/>
      <c r="CQ78" s="239"/>
      <c r="CR78" s="239"/>
      <c r="CS78" s="239"/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</row>
    <row r="79" spans="1:107" s="1" customFormat="1" ht="12.75">
      <c r="A79" s="239"/>
      <c r="B79" s="96" t="str">
        <f t="shared" si="49"/>
        <v>J3</v>
      </c>
      <c r="C79" s="212">
        <f t="shared" si="49"/>
        <v>10</v>
      </c>
      <c r="D79" s="212">
        <f t="shared" si="49"/>
        <v>172</v>
      </c>
      <c r="E79" s="212">
        <f t="shared" si="34"/>
        <v>17</v>
      </c>
      <c r="F79" s="212">
        <f t="shared" si="34"/>
        <v>6.5</v>
      </c>
      <c r="G79" s="73">
        <f t="shared" si="34"/>
        <v>10.625406514453523</v>
      </c>
      <c r="H79" s="73">
        <f t="shared" si="31"/>
        <v>13.93762745249712</v>
      </c>
      <c r="I79" s="71">
        <f t="shared" si="35"/>
        <v>-7.43762745249712</v>
      </c>
      <c r="J79" s="212"/>
      <c r="K79" s="212"/>
      <c r="L79" s="71">
        <f t="shared" si="50"/>
        <v>-23.623230236225893</v>
      </c>
      <c r="M79" s="73">
        <f t="shared" si="36"/>
        <v>103.47477833378471</v>
      </c>
      <c r="N79" s="73">
        <f t="shared" si="51"/>
        <v>-6.343712001011028</v>
      </c>
      <c r="O79" s="71">
        <f t="shared" si="37"/>
        <v>12.843712001011028</v>
      </c>
      <c r="P79" s="71">
        <f t="shared" si="38"/>
        <v>1.093915451486092</v>
      </c>
      <c r="Q79" s="74">
        <f t="shared" si="39"/>
        <v>0</v>
      </c>
      <c r="R79" s="239"/>
      <c r="S79" s="239"/>
      <c r="T79" s="239"/>
      <c r="U79" s="239"/>
      <c r="V79" s="239"/>
      <c r="W79" s="69"/>
      <c r="X79" s="69"/>
      <c r="Y79" s="239"/>
      <c r="Z79" s="68" t="str">
        <f t="shared" si="55"/>
        <v>J3</v>
      </c>
      <c r="AA79" s="97">
        <f t="shared" si="40"/>
        <v>6.5</v>
      </c>
      <c r="AB79" s="97">
        <f t="shared" si="41"/>
        <v>13.93762745249712</v>
      </c>
      <c r="AC79" s="70">
        <f t="shared" si="42"/>
        <v>12.843712001011028</v>
      </c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13"/>
      <c r="AW79" s="13"/>
      <c r="AX79" s="13"/>
      <c r="AY79" s="13"/>
      <c r="AZ79" s="13"/>
      <c r="BA79" s="13"/>
      <c r="BB79" s="13"/>
      <c r="BC79" s="71">
        <f t="shared" si="32"/>
        <v>0</v>
      </c>
      <c r="BD79" s="71">
        <f t="shared" si="33"/>
        <v>0</v>
      </c>
      <c r="BG79" s="14">
        <f t="shared" si="52"/>
        <v>103.47477833378471</v>
      </c>
      <c r="BH79" s="6"/>
      <c r="BI79" s="14">
        <f t="shared" si="43"/>
        <v>0</v>
      </c>
      <c r="BJ79" s="14">
        <f t="shared" si="53"/>
        <v>1</v>
      </c>
      <c r="BK79" s="14"/>
      <c r="BL79" s="14"/>
      <c r="BM79" s="14">
        <f t="shared" si="54"/>
        <v>1</v>
      </c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G79" s="239"/>
      <c r="CH79" s="239"/>
      <c r="CI79" s="239"/>
      <c r="CJ79" s="239"/>
      <c r="CK79" s="373" t="str">
        <f t="shared" si="44"/>
        <v>J3</v>
      </c>
      <c r="CL79" s="69">
        <f t="shared" si="45"/>
        <v>0</v>
      </c>
      <c r="CM79" s="69">
        <f t="shared" si="46"/>
        <v>-1.093915451486092</v>
      </c>
      <c r="CN79" s="69">
        <f t="shared" si="47"/>
        <v>-6.343712001011028</v>
      </c>
      <c r="CO79" s="70">
        <f t="shared" si="48"/>
        <v>0</v>
      </c>
      <c r="CP79" s="239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</row>
    <row r="80" spans="1:107" s="1" customFormat="1" ht="12.75">
      <c r="A80" s="239"/>
      <c r="B80" s="96" t="str">
        <f t="shared" si="49"/>
        <v>J1</v>
      </c>
      <c r="C80" s="212">
        <f t="shared" si="49"/>
        <v>10</v>
      </c>
      <c r="D80" s="212">
        <f t="shared" si="49"/>
        <v>182</v>
      </c>
      <c r="E80" s="212">
        <f t="shared" si="34"/>
        <v>17</v>
      </c>
      <c r="F80" s="212">
        <f t="shared" si="34"/>
        <v>19</v>
      </c>
      <c r="G80" s="73">
        <f t="shared" si="34"/>
        <v>10.647223224894656</v>
      </c>
      <c r="H80" s="73">
        <f t="shared" si="31"/>
        <v>13.966245010042226</v>
      </c>
      <c r="I80" s="71">
        <f t="shared" si="35"/>
        <v>5.0337549899577745</v>
      </c>
      <c r="J80" s="212"/>
      <c r="K80" s="212"/>
      <c r="L80" s="71">
        <f t="shared" si="50"/>
        <v>-17.685614908662263</v>
      </c>
      <c r="M80" s="73">
        <f t="shared" si="36"/>
        <v>108.50853332374248</v>
      </c>
      <c r="N80" s="73">
        <f t="shared" si="51"/>
        <v>5.033754989957771</v>
      </c>
      <c r="O80" s="71">
        <f t="shared" si="37"/>
        <v>13.966245010042226</v>
      </c>
      <c r="P80" s="71">
        <f t="shared" si="38"/>
        <v>0</v>
      </c>
      <c r="Q80" s="74">
        <f t="shared" si="39"/>
        <v>0</v>
      </c>
      <c r="R80" s="239"/>
      <c r="S80" s="239"/>
      <c r="T80" s="239"/>
      <c r="U80" s="239"/>
      <c r="V80" s="239"/>
      <c r="W80" s="69"/>
      <c r="X80" s="69"/>
      <c r="Y80" s="239"/>
      <c r="Z80" s="68" t="str">
        <f t="shared" si="55"/>
        <v>J1</v>
      </c>
      <c r="AA80" s="97">
        <f t="shared" si="40"/>
        <v>19</v>
      </c>
      <c r="AB80" s="97">
        <f t="shared" si="41"/>
        <v>13.966245010042226</v>
      </c>
      <c r="AC80" s="70">
        <f t="shared" si="42"/>
        <v>13.966245010042226</v>
      </c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13"/>
      <c r="AW80" s="13"/>
      <c r="AX80" s="13"/>
      <c r="AY80" s="13"/>
      <c r="AZ80" s="13"/>
      <c r="BA80" s="13"/>
      <c r="BB80" s="13"/>
      <c r="BC80" s="71">
        <f t="shared" si="32"/>
        <v>0</v>
      </c>
      <c r="BD80" s="71">
        <f t="shared" si="33"/>
        <v>0</v>
      </c>
      <c r="BG80" s="14">
        <f t="shared" si="52"/>
        <v>108.50853332374248</v>
      </c>
      <c r="BH80" s="6"/>
      <c r="BI80" s="14">
        <f t="shared" si="43"/>
        <v>0</v>
      </c>
      <c r="BJ80" s="14">
        <f t="shared" si="53"/>
        <v>1</v>
      </c>
      <c r="BK80" s="14"/>
      <c r="BL80" s="14"/>
      <c r="BM80" s="14">
        <f t="shared" si="54"/>
        <v>1</v>
      </c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G80" s="239"/>
      <c r="CH80" s="239"/>
      <c r="CI80" s="239"/>
      <c r="CJ80" s="239"/>
      <c r="CK80" s="373" t="str">
        <f t="shared" si="44"/>
        <v>J1</v>
      </c>
      <c r="CL80" s="69">
        <f t="shared" si="45"/>
        <v>0</v>
      </c>
      <c r="CM80" s="69">
        <f t="shared" si="46"/>
        <v>0</v>
      </c>
      <c r="CN80" s="69">
        <f t="shared" si="47"/>
        <v>0</v>
      </c>
      <c r="CO80" s="70">
        <f t="shared" si="48"/>
        <v>5.033754989957771</v>
      </c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</row>
    <row r="81" spans="1:107" s="1" customFormat="1" ht="12.75">
      <c r="A81" s="239"/>
      <c r="B81" s="96" t="str">
        <f t="shared" si="49"/>
        <v>J2</v>
      </c>
      <c r="C81" s="212">
        <f t="shared" si="49"/>
        <v>10</v>
      </c>
      <c r="D81" s="212">
        <f t="shared" si="49"/>
        <v>192</v>
      </c>
      <c r="E81" s="212">
        <f t="shared" si="34"/>
        <v>17.5</v>
      </c>
      <c r="F81" s="212">
        <f t="shared" si="34"/>
        <v>9.2</v>
      </c>
      <c r="G81" s="73">
        <f t="shared" si="34"/>
        <v>10.713591337369623</v>
      </c>
      <c r="H81" s="73">
        <f t="shared" si="31"/>
        <v>15.060027178141404</v>
      </c>
      <c r="I81" s="71">
        <f t="shared" si="35"/>
        <v>-5.860027178141404</v>
      </c>
      <c r="J81" s="212"/>
      <c r="K81" s="212"/>
      <c r="L81" s="71">
        <f t="shared" si="50"/>
        <v>-23.545642086803667</v>
      </c>
      <c r="M81" s="73">
        <f t="shared" si="36"/>
        <v>103.53902560353139</v>
      </c>
      <c r="N81" s="73">
        <f t="shared" si="51"/>
        <v>-4.969507720211098</v>
      </c>
      <c r="O81" s="71">
        <f t="shared" si="37"/>
        <v>14.169507720211097</v>
      </c>
      <c r="P81" s="71">
        <f t="shared" si="38"/>
        <v>0.8905194579303064</v>
      </c>
      <c r="Q81" s="74">
        <f t="shared" si="39"/>
        <v>0</v>
      </c>
      <c r="R81" s="239"/>
      <c r="S81" s="239"/>
      <c r="T81" s="239"/>
      <c r="U81" s="239"/>
      <c r="V81" s="239"/>
      <c r="W81" s="69"/>
      <c r="X81" s="69"/>
      <c r="Y81" s="239"/>
      <c r="Z81" s="68" t="str">
        <f t="shared" si="55"/>
        <v>J2</v>
      </c>
      <c r="AA81" s="97">
        <f t="shared" si="40"/>
        <v>9.2</v>
      </c>
      <c r="AB81" s="97">
        <f t="shared" si="41"/>
        <v>15.060027178141404</v>
      </c>
      <c r="AC81" s="70">
        <f t="shared" si="42"/>
        <v>14.169507720211097</v>
      </c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13"/>
      <c r="AW81" s="13"/>
      <c r="AX81" s="13"/>
      <c r="AY81" s="13"/>
      <c r="AZ81" s="13"/>
      <c r="BA81" s="13"/>
      <c r="BB81" s="13"/>
      <c r="BC81" s="71">
        <f t="shared" si="32"/>
        <v>0</v>
      </c>
      <c r="BD81" s="71">
        <f t="shared" si="33"/>
        <v>0</v>
      </c>
      <c r="BG81" s="14">
        <f t="shared" si="52"/>
        <v>103.53902560353139</v>
      </c>
      <c r="BH81" s="6"/>
      <c r="BI81" s="14">
        <f t="shared" si="43"/>
        <v>0</v>
      </c>
      <c r="BJ81" s="14">
        <f t="shared" si="53"/>
        <v>1</v>
      </c>
      <c r="BK81" s="14"/>
      <c r="BL81" s="14"/>
      <c r="BM81" s="14">
        <f t="shared" si="54"/>
        <v>1</v>
      </c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G81" s="239"/>
      <c r="CH81" s="239"/>
      <c r="CI81" s="239"/>
      <c r="CJ81" s="239"/>
      <c r="CK81" s="373" t="str">
        <f t="shared" si="44"/>
        <v>J2</v>
      </c>
      <c r="CL81" s="69">
        <f t="shared" si="45"/>
        <v>0</v>
      </c>
      <c r="CM81" s="69">
        <f t="shared" si="46"/>
        <v>-0.8905194579303064</v>
      </c>
      <c r="CN81" s="69">
        <f t="shared" si="47"/>
        <v>-4.969507720211098</v>
      </c>
      <c r="CO81" s="70">
        <f t="shared" si="48"/>
        <v>0</v>
      </c>
      <c r="CP81" s="239"/>
      <c r="CQ81" s="239"/>
      <c r="CR81" s="239"/>
      <c r="CS81" s="239"/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</row>
    <row r="82" spans="1:107" s="1" customFormat="1" ht="12.75">
      <c r="A82" s="239"/>
      <c r="B82" s="96" t="str">
        <f t="shared" si="49"/>
        <v>J3</v>
      </c>
      <c r="C82" s="212">
        <f t="shared" si="49"/>
        <v>11</v>
      </c>
      <c r="D82" s="212">
        <f t="shared" si="49"/>
        <v>202</v>
      </c>
      <c r="E82" s="212">
        <f aca="true" t="shared" si="56" ref="E82:G97">E39</f>
        <v>17.8</v>
      </c>
      <c r="F82" s="212">
        <f t="shared" si="56"/>
        <v>0</v>
      </c>
      <c r="G82" s="73">
        <f t="shared" si="56"/>
        <v>10.820550222341945</v>
      </c>
      <c r="H82" s="73">
        <f t="shared" si="31"/>
        <v>17.424156081465657</v>
      </c>
      <c r="I82" s="71">
        <f t="shared" si="35"/>
        <v>-17.424156081465657</v>
      </c>
      <c r="J82" s="212"/>
      <c r="K82" s="212"/>
      <c r="L82" s="71">
        <f t="shared" si="50"/>
        <v>-40.96979816826932</v>
      </c>
      <c r="M82" s="73">
        <f t="shared" si="36"/>
        <v>90.06713637439887</v>
      </c>
      <c r="N82" s="73">
        <f t="shared" si="51"/>
        <v>-13.471889229132515</v>
      </c>
      <c r="O82" s="71">
        <f t="shared" si="37"/>
        <v>13.471889229132515</v>
      </c>
      <c r="P82" s="71">
        <f t="shared" si="38"/>
        <v>3.9522668523331426</v>
      </c>
      <c r="Q82" s="74">
        <f t="shared" si="39"/>
        <v>0</v>
      </c>
      <c r="R82" s="239"/>
      <c r="S82" s="239"/>
      <c r="T82" s="239"/>
      <c r="U82" s="239"/>
      <c r="V82" s="239"/>
      <c r="W82" s="69"/>
      <c r="X82" s="69"/>
      <c r="Y82" s="239"/>
      <c r="Z82" s="68" t="str">
        <f t="shared" si="55"/>
        <v>J3</v>
      </c>
      <c r="AA82" s="97">
        <f t="shared" si="40"/>
        <v>0</v>
      </c>
      <c r="AB82" s="97">
        <f t="shared" si="41"/>
        <v>17.424156081465657</v>
      </c>
      <c r="AC82" s="70">
        <f t="shared" si="42"/>
        <v>13.471889229132515</v>
      </c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13"/>
      <c r="AW82" s="13"/>
      <c r="AX82" s="13"/>
      <c r="AY82" s="13"/>
      <c r="AZ82" s="13"/>
      <c r="BA82" s="13"/>
      <c r="BB82" s="13"/>
      <c r="BC82" s="71">
        <f t="shared" si="32"/>
        <v>0</v>
      </c>
      <c r="BD82" s="71">
        <f t="shared" si="33"/>
        <v>0</v>
      </c>
      <c r="BG82" s="14">
        <f t="shared" si="52"/>
        <v>90.06713637439887</v>
      </c>
      <c r="BH82" s="6"/>
      <c r="BI82" s="14">
        <f t="shared" si="43"/>
        <v>0</v>
      </c>
      <c r="BJ82" s="14">
        <f t="shared" si="53"/>
        <v>1</v>
      </c>
      <c r="BK82" s="14"/>
      <c r="BL82" s="14"/>
      <c r="BM82" s="14">
        <f t="shared" si="54"/>
        <v>1</v>
      </c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G82" s="239"/>
      <c r="CH82" s="239"/>
      <c r="CI82" s="239"/>
      <c r="CJ82" s="239"/>
      <c r="CK82" s="373" t="str">
        <f t="shared" si="44"/>
        <v>J3</v>
      </c>
      <c r="CL82" s="69">
        <f t="shared" si="45"/>
        <v>0</v>
      </c>
      <c r="CM82" s="69">
        <f t="shared" si="46"/>
        <v>-3.9522668523331426</v>
      </c>
      <c r="CN82" s="69">
        <f t="shared" si="47"/>
        <v>-13.471889229132515</v>
      </c>
      <c r="CO82" s="70">
        <f t="shared" si="48"/>
        <v>0</v>
      </c>
      <c r="CP82" s="239"/>
      <c r="CQ82" s="239"/>
      <c r="CR82" s="239"/>
      <c r="CS82" s="239"/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</row>
    <row r="83" spans="1:107" s="1" customFormat="1" ht="12.75">
      <c r="A83" s="239"/>
      <c r="B83" s="96" t="str">
        <f t="shared" si="49"/>
        <v>A1</v>
      </c>
      <c r="C83" s="212">
        <f t="shared" si="49"/>
        <v>10</v>
      </c>
      <c r="D83" s="212">
        <f t="shared" si="49"/>
        <v>213</v>
      </c>
      <c r="E83" s="212">
        <f t="shared" si="56"/>
        <v>18</v>
      </c>
      <c r="F83" s="212">
        <f t="shared" si="56"/>
        <v>0</v>
      </c>
      <c r="G83" s="73">
        <f t="shared" si="56"/>
        <v>10.978128268254709</v>
      </c>
      <c r="H83" s="73">
        <f t="shared" si="31"/>
        <v>16.505163967353372</v>
      </c>
      <c r="I83" s="71">
        <f t="shared" si="35"/>
        <v>-16.505163967353372</v>
      </c>
      <c r="J83" s="212"/>
      <c r="K83" s="212"/>
      <c r="L83" s="71">
        <f t="shared" si="50"/>
        <v>-57.47496213562269</v>
      </c>
      <c r="M83" s="73">
        <f t="shared" si="36"/>
        <v>78.92626326576463</v>
      </c>
      <c r="N83" s="73">
        <f t="shared" si="51"/>
        <v>-11.140873108634239</v>
      </c>
      <c r="O83" s="71">
        <f t="shared" si="37"/>
        <v>11.140873108634239</v>
      </c>
      <c r="P83" s="71">
        <f t="shared" si="38"/>
        <v>5.364290858719134</v>
      </c>
      <c r="Q83" s="74">
        <f t="shared" si="39"/>
        <v>0</v>
      </c>
      <c r="R83" s="239"/>
      <c r="S83" s="239"/>
      <c r="T83" s="239"/>
      <c r="U83" s="239"/>
      <c r="V83" s="239"/>
      <c r="W83" s="69"/>
      <c r="X83" s="69"/>
      <c r="Y83" s="239"/>
      <c r="Z83" s="68" t="str">
        <f t="shared" si="55"/>
        <v>A1</v>
      </c>
      <c r="AA83" s="97">
        <f t="shared" si="40"/>
        <v>0</v>
      </c>
      <c r="AB83" s="97">
        <f t="shared" si="41"/>
        <v>16.505163967353372</v>
      </c>
      <c r="AC83" s="70">
        <f t="shared" si="42"/>
        <v>11.140873108634239</v>
      </c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13"/>
      <c r="AW83" s="13"/>
      <c r="AX83" s="13"/>
      <c r="AY83" s="13"/>
      <c r="AZ83" s="13"/>
      <c r="BA83" s="13"/>
      <c r="BB83" s="13"/>
      <c r="BC83" s="71">
        <f t="shared" si="32"/>
        <v>0</v>
      </c>
      <c r="BD83" s="71">
        <f t="shared" si="33"/>
        <v>0</v>
      </c>
      <c r="BG83" s="14">
        <f t="shared" si="52"/>
        <v>78.92626326576463</v>
      </c>
      <c r="BH83" s="6"/>
      <c r="BI83" s="14">
        <f t="shared" si="43"/>
        <v>0</v>
      </c>
      <c r="BJ83" s="14">
        <f t="shared" si="53"/>
        <v>1</v>
      </c>
      <c r="BK83" s="14"/>
      <c r="BL83" s="14"/>
      <c r="BM83" s="14">
        <f t="shared" si="54"/>
        <v>1</v>
      </c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G83" s="239"/>
      <c r="CH83" s="239"/>
      <c r="CI83" s="239"/>
      <c r="CJ83" s="239"/>
      <c r="CK83" s="373" t="str">
        <f t="shared" si="44"/>
        <v>A1</v>
      </c>
      <c r="CL83" s="69">
        <f t="shared" si="45"/>
        <v>0</v>
      </c>
      <c r="CM83" s="69">
        <f t="shared" si="46"/>
        <v>-5.364290858719134</v>
      </c>
      <c r="CN83" s="69">
        <f t="shared" si="47"/>
        <v>-11.140873108634239</v>
      </c>
      <c r="CO83" s="70">
        <f t="shared" si="48"/>
        <v>0</v>
      </c>
      <c r="CP83" s="239"/>
      <c r="CQ83" s="239"/>
      <c r="CR83" s="239"/>
      <c r="CS83" s="239"/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</row>
    <row r="84" spans="1:107" s="1" customFormat="1" ht="12.75">
      <c r="A84" s="239"/>
      <c r="B84" s="96" t="str">
        <f t="shared" si="49"/>
        <v>A2</v>
      </c>
      <c r="C84" s="212">
        <f t="shared" si="49"/>
        <v>10</v>
      </c>
      <c r="D84" s="212">
        <f t="shared" si="49"/>
        <v>223</v>
      </c>
      <c r="E84" s="212">
        <f t="shared" si="56"/>
        <v>18.5</v>
      </c>
      <c r="F84" s="212">
        <f t="shared" si="56"/>
        <v>10.5</v>
      </c>
      <c r="G84" s="73">
        <f t="shared" si="56"/>
        <v>11.150395549083724</v>
      </c>
      <c r="H84" s="73">
        <f t="shared" si="31"/>
        <v>17.89709544559368</v>
      </c>
      <c r="I84" s="71">
        <f t="shared" si="35"/>
        <v>-7.397095445593681</v>
      </c>
      <c r="J84" s="212"/>
      <c r="K84" s="212"/>
      <c r="L84" s="71">
        <f t="shared" si="50"/>
        <v>-64.87205758121637</v>
      </c>
      <c r="M84" s="73">
        <f t="shared" si="36"/>
        <v>74.39117183393454</v>
      </c>
      <c r="N84" s="73">
        <f t="shared" si="51"/>
        <v>-4.5350914318300966</v>
      </c>
      <c r="O84" s="71">
        <f t="shared" si="37"/>
        <v>15.035091431830097</v>
      </c>
      <c r="P84" s="71">
        <f t="shared" si="38"/>
        <v>2.8620040137635847</v>
      </c>
      <c r="Q84" s="74">
        <f t="shared" si="39"/>
        <v>0</v>
      </c>
      <c r="R84" s="239"/>
      <c r="S84" s="239"/>
      <c r="T84" s="239"/>
      <c r="U84" s="239"/>
      <c r="V84" s="239"/>
      <c r="W84" s="69"/>
      <c r="X84" s="69"/>
      <c r="Y84" s="239"/>
      <c r="Z84" s="68" t="str">
        <f t="shared" si="55"/>
        <v>A2</v>
      </c>
      <c r="AA84" s="97">
        <f t="shared" si="40"/>
        <v>10.5</v>
      </c>
      <c r="AB84" s="97">
        <f t="shared" si="41"/>
        <v>17.89709544559368</v>
      </c>
      <c r="AC84" s="70">
        <f t="shared" si="42"/>
        <v>15.035091431830097</v>
      </c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13"/>
      <c r="AW84" s="13"/>
      <c r="AX84" s="13"/>
      <c r="AY84" s="13"/>
      <c r="AZ84" s="13"/>
      <c r="BA84" s="13"/>
      <c r="BB84" s="13"/>
      <c r="BC84" s="71">
        <f t="shared" si="32"/>
        <v>0</v>
      </c>
      <c r="BD84" s="71">
        <f t="shared" si="33"/>
        <v>0</v>
      </c>
      <c r="BG84" s="14">
        <f t="shared" si="52"/>
        <v>74.39117183393454</v>
      </c>
      <c r="BH84" s="6"/>
      <c r="BI84" s="14">
        <f t="shared" si="43"/>
        <v>0</v>
      </c>
      <c r="BJ84" s="14">
        <f t="shared" si="53"/>
        <v>1</v>
      </c>
      <c r="BK84" s="14"/>
      <c r="BL84" s="14"/>
      <c r="BM84" s="14">
        <f t="shared" si="54"/>
        <v>1</v>
      </c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G84" s="239"/>
      <c r="CH84" s="239"/>
      <c r="CI84" s="239"/>
      <c r="CJ84" s="239"/>
      <c r="CK84" s="373" t="str">
        <f t="shared" si="44"/>
        <v>A2</v>
      </c>
      <c r="CL84" s="69">
        <f t="shared" si="45"/>
        <v>0</v>
      </c>
      <c r="CM84" s="69">
        <f t="shared" si="46"/>
        <v>-2.8620040137635847</v>
      </c>
      <c r="CN84" s="69">
        <f t="shared" si="47"/>
        <v>-4.5350914318300966</v>
      </c>
      <c r="CO84" s="70">
        <f t="shared" si="48"/>
        <v>0</v>
      </c>
      <c r="CP84" s="239"/>
      <c r="CQ84" s="239"/>
      <c r="CR84" s="239"/>
      <c r="CS84" s="239"/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</row>
    <row r="85" spans="1:107" s="1" customFormat="1" ht="12.75">
      <c r="A85" s="239"/>
      <c r="B85" s="96" t="str">
        <f t="shared" si="49"/>
        <v>A3</v>
      </c>
      <c r="C85" s="212">
        <f t="shared" si="49"/>
        <v>11</v>
      </c>
      <c r="D85" s="212">
        <f t="shared" si="49"/>
        <v>233</v>
      </c>
      <c r="E85" s="212">
        <f t="shared" si="56"/>
        <v>19.5</v>
      </c>
      <c r="F85" s="212">
        <f t="shared" si="56"/>
        <v>19.2</v>
      </c>
      <c r="G85" s="73">
        <f t="shared" si="56"/>
        <v>11.343365597548393</v>
      </c>
      <c r="H85" s="73">
        <f t="shared" si="31"/>
        <v>22.70886318439592</v>
      </c>
      <c r="I85" s="71">
        <f t="shared" si="35"/>
        <v>-3.5088631843959206</v>
      </c>
      <c r="J85" s="212"/>
      <c r="K85" s="212"/>
      <c r="L85" s="71">
        <f t="shared" si="50"/>
        <v>-68.38092076561229</v>
      </c>
      <c r="M85" s="73">
        <f t="shared" si="36"/>
        <v>72.33198116870402</v>
      </c>
      <c r="N85" s="73">
        <f t="shared" si="51"/>
        <v>-2.059190665230517</v>
      </c>
      <c r="O85" s="71">
        <f t="shared" si="37"/>
        <v>21.259190665230516</v>
      </c>
      <c r="P85" s="71">
        <f t="shared" si="38"/>
        <v>1.4496725191654036</v>
      </c>
      <c r="Q85" s="74">
        <f t="shared" si="39"/>
        <v>0</v>
      </c>
      <c r="R85" s="239"/>
      <c r="S85" s="239"/>
      <c r="T85" s="239"/>
      <c r="U85" s="239"/>
      <c r="V85" s="239"/>
      <c r="W85" s="69"/>
      <c r="X85" s="69"/>
      <c r="Y85" s="239"/>
      <c r="Z85" s="68" t="str">
        <f t="shared" si="55"/>
        <v>A3</v>
      </c>
      <c r="AA85" s="97">
        <f t="shared" si="40"/>
        <v>19.2</v>
      </c>
      <c r="AB85" s="97">
        <f t="shared" si="41"/>
        <v>22.70886318439592</v>
      </c>
      <c r="AC85" s="70">
        <f t="shared" si="42"/>
        <v>21.259190665230516</v>
      </c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13"/>
      <c r="AW85" s="13"/>
      <c r="AX85" s="13"/>
      <c r="AY85" s="13"/>
      <c r="AZ85" s="13"/>
      <c r="BA85" s="13"/>
      <c r="BB85" s="13"/>
      <c r="BC85" s="71">
        <f t="shared" si="32"/>
        <v>1.382287338960488</v>
      </c>
      <c r="BD85" s="71">
        <f t="shared" si="33"/>
        <v>1.382287338960488</v>
      </c>
      <c r="BG85" s="14">
        <f t="shared" si="52"/>
        <v>72.33198116870402</v>
      </c>
      <c r="BH85" s="6"/>
      <c r="BI85" s="14">
        <f t="shared" si="43"/>
        <v>0</v>
      </c>
      <c r="BJ85" s="14">
        <f t="shared" si="53"/>
        <v>1</v>
      </c>
      <c r="BK85" s="14"/>
      <c r="BL85" s="14"/>
      <c r="BM85" s="14">
        <f t="shared" si="54"/>
        <v>1</v>
      </c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G85" s="239"/>
      <c r="CH85" s="239"/>
      <c r="CI85" s="239"/>
      <c r="CJ85" s="239"/>
      <c r="CK85" s="373" t="str">
        <f t="shared" si="44"/>
        <v>A3</v>
      </c>
      <c r="CL85" s="69">
        <f t="shared" si="45"/>
        <v>0</v>
      </c>
      <c r="CM85" s="69">
        <f t="shared" si="46"/>
        <v>-1.4496725191654036</v>
      </c>
      <c r="CN85" s="69">
        <f t="shared" si="47"/>
        <v>-2.059190665230517</v>
      </c>
      <c r="CO85" s="70">
        <f t="shared" si="48"/>
        <v>0</v>
      </c>
      <c r="CP85" s="239"/>
      <c r="CQ85" s="239"/>
      <c r="CR85" s="239"/>
      <c r="CS85" s="239"/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</row>
    <row r="86" spans="1:107" s="1" customFormat="1" ht="12.75">
      <c r="A86" s="239"/>
      <c r="B86" s="96" t="str">
        <f t="shared" si="49"/>
        <v>S1</v>
      </c>
      <c r="C86" s="212">
        <f t="shared" si="49"/>
        <v>10</v>
      </c>
      <c r="D86" s="212">
        <f t="shared" si="49"/>
        <v>244</v>
      </c>
      <c r="E86" s="212">
        <f t="shared" si="56"/>
        <v>20</v>
      </c>
      <c r="F86" s="212">
        <f t="shared" si="56"/>
        <v>15</v>
      </c>
      <c r="G86" s="73">
        <f t="shared" si="56"/>
        <v>11.572247422177883</v>
      </c>
      <c r="H86" s="73">
        <f t="shared" si="31"/>
        <v>22.372883933851277</v>
      </c>
      <c r="I86" s="71">
        <f t="shared" si="35"/>
        <v>-7.372883933851277</v>
      </c>
      <c r="J86" s="212"/>
      <c r="K86" s="212"/>
      <c r="L86" s="71">
        <f t="shared" si="50"/>
        <v>-75.75380469946356</v>
      </c>
      <c r="M86" s="73">
        <f t="shared" si="36"/>
        <v>68.18900260403156</v>
      </c>
      <c r="N86" s="73">
        <f t="shared" si="51"/>
        <v>-4.142978564672461</v>
      </c>
      <c r="O86" s="71">
        <f t="shared" si="37"/>
        <v>19.14297856467246</v>
      </c>
      <c r="P86" s="71">
        <f t="shared" si="38"/>
        <v>3.229905369178816</v>
      </c>
      <c r="Q86" s="74">
        <f t="shared" si="39"/>
        <v>0</v>
      </c>
      <c r="R86" s="239"/>
      <c r="S86" s="239"/>
      <c r="T86" s="239"/>
      <c r="U86" s="239"/>
      <c r="V86" s="239"/>
      <c r="W86" s="69"/>
      <c r="X86" s="69"/>
      <c r="Y86" s="239"/>
      <c r="Z86" s="68" t="str">
        <f t="shared" si="55"/>
        <v>S1</v>
      </c>
      <c r="AA86" s="97">
        <f t="shared" si="40"/>
        <v>15</v>
      </c>
      <c r="AB86" s="97">
        <f t="shared" si="41"/>
        <v>22.372883933851277</v>
      </c>
      <c r="AC86" s="70">
        <f t="shared" si="42"/>
        <v>19.14297856467246</v>
      </c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13"/>
      <c r="AW86" s="13"/>
      <c r="AX86" s="13"/>
      <c r="AY86" s="13"/>
      <c r="AZ86" s="13"/>
      <c r="BA86" s="13"/>
      <c r="BB86" s="13"/>
      <c r="BC86" s="71">
        <f t="shared" si="32"/>
        <v>0</v>
      </c>
      <c r="BD86" s="71">
        <f t="shared" si="33"/>
        <v>0</v>
      </c>
      <c r="BG86" s="14">
        <f t="shared" si="52"/>
        <v>68.18900260403156</v>
      </c>
      <c r="BH86" s="6"/>
      <c r="BI86" s="14">
        <f t="shared" si="43"/>
        <v>0</v>
      </c>
      <c r="BJ86" s="14">
        <f t="shared" si="53"/>
        <v>1</v>
      </c>
      <c r="BK86" s="14"/>
      <c r="BL86" s="14"/>
      <c r="BM86" s="14">
        <f t="shared" si="54"/>
        <v>1</v>
      </c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G86" s="239"/>
      <c r="CH86" s="239"/>
      <c r="CI86" s="239"/>
      <c r="CJ86" s="239"/>
      <c r="CK86" s="373" t="str">
        <f t="shared" si="44"/>
        <v>S1</v>
      </c>
      <c r="CL86" s="69">
        <f t="shared" si="45"/>
        <v>0</v>
      </c>
      <c r="CM86" s="69">
        <f t="shared" si="46"/>
        <v>-3.229905369178816</v>
      </c>
      <c r="CN86" s="69">
        <f t="shared" si="47"/>
        <v>-4.142978564672461</v>
      </c>
      <c r="CO86" s="70">
        <f t="shared" si="48"/>
        <v>0</v>
      </c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</row>
    <row r="87" spans="1:107" s="1" customFormat="1" ht="12.75">
      <c r="A87" s="239"/>
      <c r="B87" s="96" t="str">
        <f t="shared" si="49"/>
        <v>S2</v>
      </c>
      <c r="C87" s="212">
        <f t="shared" si="49"/>
        <v>10</v>
      </c>
      <c r="D87" s="212">
        <f t="shared" si="49"/>
        <v>254</v>
      </c>
      <c r="E87" s="212">
        <f t="shared" si="56"/>
        <v>20.3</v>
      </c>
      <c r="F87" s="212">
        <f t="shared" si="56"/>
        <v>25</v>
      </c>
      <c r="G87" s="73">
        <f t="shared" si="56"/>
        <v>11.789641634323305</v>
      </c>
      <c r="H87" s="73">
        <f t="shared" si="31"/>
        <v>23.617712661039512</v>
      </c>
      <c r="I87" s="71">
        <f t="shared" si="35"/>
        <v>1.382287338960488</v>
      </c>
      <c r="J87" s="212"/>
      <c r="K87" s="212"/>
      <c r="L87" s="71">
        <f t="shared" si="50"/>
        <v>-73.2452194853592</v>
      </c>
      <c r="M87" s="73">
        <f t="shared" si="36"/>
        <v>69.57128994299205</v>
      </c>
      <c r="N87" s="73">
        <f t="shared" si="51"/>
        <v>1.382287338960495</v>
      </c>
      <c r="O87" s="71">
        <f t="shared" si="37"/>
        <v>23.617712661039512</v>
      </c>
      <c r="P87" s="71">
        <f t="shared" si="38"/>
        <v>0</v>
      </c>
      <c r="Q87" s="74">
        <f t="shared" si="39"/>
        <v>0</v>
      </c>
      <c r="R87" s="239"/>
      <c r="S87" s="239"/>
      <c r="T87" s="239"/>
      <c r="U87" s="239"/>
      <c r="V87" s="239"/>
      <c r="W87" s="69"/>
      <c r="X87" s="69"/>
      <c r="Y87" s="239"/>
      <c r="Z87" s="68" t="str">
        <f t="shared" si="55"/>
        <v>S2</v>
      </c>
      <c r="AA87" s="97">
        <f t="shared" si="40"/>
        <v>25</v>
      </c>
      <c r="AB87" s="97">
        <f t="shared" si="41"/>
        <v>23.617712661039512</v>
      </c>
      <c r="AC87" s="70">
        <f t="shared" si="42"/>
        <v>23.617712661039512</v>
      </c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13"/>
      <c r="AW87" s="13"/>
      <c r="AX87" s="13"/>
      <c r="AY87" s="13"/>
      <c r="AZ87" s="13"/>
      <c r="BA87" s="13"/>
      <c r="BB87" s="13"/>
      <c r="BC87" s="71">
        <f t="shared" si="32"/>
        <v>1.7952883882866146</v>
      </c>
      <c r="BD87" s="71">
        <f t="shared" si="33"/>
        <v>1.7952883882866146</v>
      </c>
      <c r="BG87" s="14">
        <f t="shared" si="52"/>
        <v>69.57128994299205</v>
      </c>
      <c r="BH87" s="6"/>
      <c r="BI87" s="14">
        <f t="shared" si="43"/>
        <v>0</v>
      </c>
      <c r="BJ87" s="14">
        <f t="shared" si="53"/>
        <v>1</v>
      </c>
      <c r="BK87" s="14"/>
      <c r="BL87" s="14"/>
      <c r="BM87" s="14">
        <f t="shared" si="54"/>
        <v>1</v>
      </c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G87" s="239"/>
      <c r="CH87" s="239"/>
      <c r="CI87" s="239"/>
      <c r="CJ87" s="239"/>
      <c r="CK87" s="373" t="str">
        <f t="shared" si="44"/>
        <v>S2</v>
      </c>
      <c r="CL87" s="69">
        <f t="shared" si="45"/>
        <v>0</v>
      </c>
      <c r="CM87" s="69">
        <f t="shared" si="46"/>
        <v>0</v>
      </c>
      <c r="CN87" s="69">
        <f t="shared" si="47"/>
        <v>0</v>
      </c>
      <c r="CO87" s="70">
        <f t="shared" si="48"/>
        <v>1.382287338960495</v>
      </c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</row>
    <row r="88" spans="1:107" s="1" customFormat="1" ht="12.75">
      <c r="A88" s="239"/>
      <c r="B88" s="96" t="str">
        <f t="shared" si="49"/>
        <v>S3</v>
      </c>
      <c r="C88" s="212">
        <f t="shared" si="49"/>
        <v>10</v>
      </c>
      <c r="D88" s="212">
        <f t="shared" si="49"/>
        <v>264</v>
      </c>
      <c r="E88" s="212">
        <f t="shared" si="56"/>
        <v>21</v>
      </c>
      <c r="F88" s="212">
        <f t="shared" si="56"/>
        <v>21.6</v>
      </c>
      <c r="G88" s="73">
        <f t="shared" si="56"/>
        <v>12.011103041514469</v>
      </c>
      <c r="H88" s="73">
        <f t="shared" si="31"/>
        <v>26.089225494854972</v>
      </c>
      <c r="I88" s="71">
        <f t="shared" si="35"/>
        <v>-4.489225494854971</v>
      </c>
      <c r="J88" s="212"/>
      <c r="K88" s="212"/>
      <c r="L88" s="71">
        <f t="shared" si="50"/>
        <v>-77.73444498021416</v>
      </c>
      <c r="M88" s="73">
        <f t="shared" si="36"/>
        <v>67.11705452367703</v>
      </c>
      <c r="N88" s="73">
        <f t="shared" si="51"/>
        <v>-2.454235419315026</v>
      </c>
      <c r="O88" s="71">
        <f t="shared" si="37"/>
        <v>24.054235419315027</v>
      </c>
      <c r="P88" s="71">
        <f t="shared" si="38"/>
        <v>2.0349900755399446</v>
      </c>
      <c r="Q88" s="74">
        <f t="shared" si="39"/>
        <v>0</v>
      </c>
      <c r="R88" s="239"/>
      <c r="S88" s="239"/>
      <c r="T88" s="239"/>
      <c r="U88" s="239"/>
      <c r="V88" s="239"/>
      <c r="W88" s="69"/>
      <c r="X88" s="69"/>
      <c r="Y88" s="239"/>
      <c r="Z88" s="68" t="str">
        <f t="shared" si="55"/>
        <v>S3</v>
      </c>
      <c r="AA88" s="97">
        <f t="shared" si="40"/>
        <v>21.6</v>
      </c>
      <c r="AB88" s="97">
        <f t="shared" si="41"/>
        <v>26.089225494854972</v>
      </c>
      <c r="AC88" s="70">
        <f t="shared" si="42"/>
        <v>24.054235419315027</v>
      </c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13"/>
      <c r="AW88" s="13"/>
      <c r="AX88" s="13"/>
      <c r="AY88" s="13"/>
      <c r="AZ88" s="13"/>
      <c r="BA88" s="13"/>
      <c r="BB88" s="13"/>
      <c r="BC88" s="71">
        <f t="shared" si="32"/>
        <v>6.9792900373603715</v>
      </c>
      <c r="BD88" s="71">
        <f t="shared" si="33"/>
        <v>6.9792900373603715</v>
      </c>
      <c r="BG88" s="14">
        <f t="shared" si="52"/>
        <v>67.11705452367703</v>
      </c>
      <c r="BH88" s="6"/>
      <c r="BI88" s="14">
        <f t="shared" si="43"/>
        <v>0</v>
      </c>
      <c r="BJ88" s="14">
        <f t="shared" si="53"/>
        <v>1</v>
      </c>
      <c r="BK88" s="14"/>
      <c r="BL88" s="14"/>
      <c r="BM88" s="14">
        <f t="shared" si="54"/>
        <v>1</v>
      </c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G88" s="239"/>
      <c r="CH88" s="239"/>
      <c r="CI88" s="239"/>
      <c r="CJ88" s="239"/>
      <c r="CK88" s="373" t="str">
        <f t="shared" si="44"/>
        <v>S3</v>
      </c>
      <c r="CL88" s="69">
        <f t="shared" si="45"/>
        <v>0</v>
      </c>
      <c r="CM88" s="69">
        <f t="shared" si="46"/>
        <v>-2.0349900755399446</v>
      </c>
      <c r="CN88" s="69">
        <f t="shared" si="47"/>
        <v>-2.454235419315026</v>
      </c>
      <c r="CO88" s="70">
        <f t="shared" si="48"/>
        <v>0</v>
      </c>
      <c r="CP88" s="239"/>
      <c r="CQ88" s="239"/>
      <c r="CR88" s="239"/>
      <c r="CS88" s="239"/>
      <c r="CT88" s="239"/>
      <c r="CU88" s="239"/>
      <c r="CV88" s="239"/>
      <c r="CW88" s="239"/>
      <c r="CX88" s="239"/>
      <c r="CY88" s="239"/>
      <c r="CZ88" s="239"/>
      <c r="DA88" s="239"/>
      <c r="DB88" s="239"/>
      <c r="DC88" s="239"/>
    </row>
    <row r="89" spans="1:107" s="1" customFormat="1" ht="12.75">
      <c r="A89" s="239"/>
      <c r="B89" s="96" t="str">
        <f t="shared" si="49"/>
        <v>O1</v>
      </c>
      <c r="C89" s="212">
        <f t="shared" si="49"/>
        <v>10</v>
      </c>
      <c r="D89" s="212">
        <f t="shared" si="49"/>
        <v>274</v>
      </c>
      <c r="E89" s="212">
        <f t="shared" si="56"/>
        <v>21.5</v>
      </c>
      <c r="F89" s="212">
        <f t="shared" si="56"/>
        <v>29.9</v>
      </c>
      <c r="G89" s="73">
        <f t="shared" si="56"/>
        <v>12.232353350531952</v>
      </c>
      <c r="H89" s="73">
        <f t="shared" si="31"/>
        <v>28.104711611713384</v>
      </c>
      <c r="I89" s="71">
        <f t="shared" si="35"/>
        <v>1.7952883882866146</v>
      </c>
      <c r="J89" s="212"/>
      <c r="K89" s="212"/>
      <c r="L89" s="71">
        <f t="shared" si="50"/>
        <v>-74.43480411475156</v>
      </c>
      <c r="M89" s="73">
        <f t="shared" si="36"/>
        <v>68.91234291196363</v>
      </c>
      <c r="N89" s="73">
        <f t="shared" si="51"/>
        <v>1.7952883882866075</v>
      </c>
      <c r="O89" s="71">
        <f t="shared" si="37"/>
        <v>28.104711611713384</v>
      </c>
      <c r="P89" s="71">
        <f t="shared" si="38"/>
        <v>0</v>
      </c>
      <c r="Q89" s="74">
        <f t="shared" si="39"/>
        <v>0</v>
      </c>
      <c r="R89" s="239"/>
      <c r="S89" s="239"/>
      <c r="T89" s="239"/>
      <c r="U89" s="239"/>
      <c r="V89" s="239"/>
      <c r="W89" s="69"/>
      <c r="X89" s="69"/>
      <c r="Y89" s="239"/>
      <c r="Z89" s="68" t="str">
        <f t="shared" si="55"/>
        <v>O1</v>
      </c>
      <c r="AA89" s="97">
        <f t="shared" si="40"/>
        <v>29.9</v>
      </c>
      <c r="AB89" s="97">
        <f t="shared" si="41"/>
        <v>28.104711611713384</v>
      </c>
      <c r="AC89" s="70">
        <f t="shared" si="42"/>
        <v>28.104711611713384</v>
      </c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13"/>
      <c r="AW89" s="13"/>
      <c r="AX89" s="13"/>
      <c r="AY89" s="13"/>
      <c r="AZ89" s="13"/>
      <c r="BA89" s="13"/>
      <c r="BB89" s="13"/>
      <c r="BC89" s="71">
        <f t="shared" si="32"/>
        <v>13.605317716817247</v>
      </c>
      <c r="BD89" s="71">
        <f t="shared" si="33"/>
        <v>13.605317716817247</v>
      </c>
      <c r="BG89" s="14">
        <f t="shared" si="52"/>
        <v>68.91234291196363</v>
      </c>
      <c r="BH89" s="6"/>
      <c r="BI89" s="14">
        <f t="shared" si="43"/>
        <v>0</v>
      </c>
      <c r="BJ89" s="14">
        <f t="shared" si="53"/>
        <v>1</v>
      </c>
      <c r="BK89" s="14"/>
      <c r="BL89" s="14"/>
      <c r="BM89" s="14">
        <f t="shared" si="54"/>
        <v>1</v>
      </c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G89" s="239"/>
      <c r="CH89" s="239"/>
      <c r="CI89" s="239"/>
      <c r="CJ89" s="239"/>
      <c r="CK89" s="373" t="str">
        <f t="shared" si="44"/>
        <v>O1</v>
      </c>
      <c r="CL89" s="69">
        <f t="shared" si="45"/>
        <v>0</v>
      </c>
      <c r="CM89" s="69">
        <f t="shared" si="46"/>
        <v>0</v>
      </c>
      <c r="CN89" s="69">
        <f t="shared" si="47"/>
        <v>0</v>
      </c>
      <c r="CO89" s="70">
        <f t="shared" si="48"/>
        <v>1.7952883882866075</v>
      </c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</row>
    <row r="90" spans="1:107" s="1" customFormat="1" ht="12.75">
      <c r="A90" s="239"/>
      <c r="B90" s="96" t="str">
        <f t="shared" si="49"/>
        <v>O2</v>
      </c>
      <c r="C90" s="212">
        <f t="shared" si="49"/>
        <v>10</v>
      </c>
      <c r="D90" s="212">
        <f t="shared" si="49"/>
        <v>284</v>
      </c>
      <c r="E90" s="212">
        <f t="shared" si="56"/>
        <v>22</v>
      </c>
      <c r="F90" s="212">
        <f t="shared" si="56"/>
        <v>35.4</v>
      </c>
      <c r="G90" s="73">
        <f t="shared" si="56"/>
        <v>12.449094669742893</v>
      </c>
      <c r="H90" s="73">
        <f t="shared" si="31"/>
        <v>30.21599835092624</v>
      </c>
      <c r="I90" s="71">
        <f t="shared" si="35"/>
        <v>5.184001649073757</v>
      </c>
      <c r="J90" s="212"/>
      <c r="K90" s="212"/>
      <c r="L90" s="71">
        <f t="shared" si="50"/>
        <v>-65.36844217214635</v>
      </c>
      <c r="M90" s="73">
        <f t="shared" si="36"/>
        <v>74.0963445610374</v>
      </c>
      <c r="N90" s="73">
        <f t="shared" si="51"/>
        <v>5.184001649073764</v>
      </c>
      <c r="O90" s="71">
        <f t="shared" si="37"/>
        <v>30.21599835092624</v>
      </c>
      <c r="P90" s="71">
        <f t="shared" si="38"/>
        <v>0</v>
      </c>
      <c r="Q90" s="74">
        <f t="shared" si="39"/>
        <v>0</v>
      </c>
      <c r="R90" s="239"/>
      <c r="S90" s="239"/>
      <c r="T90" s="239"/>
      <c r="U90" s="239"/>
      <c r="V90" s="239"/>
      <c r="W90" s="69"/>
      <c r="X90" s="69"/>
      <c r="Y90" s="239"/>
      <c r="Z90" s="68" t="str">
        <f t="shared" si="55"/>
        <v>O2</v>
      </c>
      <c r="AA90" s="97">
        <f t="shared" si="40"/>
        <v>35.4</v>
      </c>
      <c r="AB90" s="97">
        <f t="shared" si="41"/>
        <v>30.21599835092624</v>
      </c>
      <c r="AC90" s="70">
        <f t="shared" si="42"/>
        <v>30.21599835092624</v>
      </c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13"/>
      <c r="AW90" s="13"/>
      <c r="AX90" s="13"/>
      <c r="AY90" s="13"/>
      <c r="AZ90" s="13"/>
      <c r="BA90" s="13"/>
      <c r="BB90" s="13"/>
      <c r="BC90" s="71">
        <f t="shared" si="32"/>
        <v>0</v>
      </c>
      <c r="BD90" s="71">
        <f t="shared" si="33"/>
        <v>0</v>
      </c>
      <c r="BG90" s="14">
        <f t="shared" si="52"/>
        <v>74.0963445610374</v>
      </c>
      <c r="BH90" s="6"/>
      <c r="BI90" s="14">
        <f t="shared" si="43"/>
        <v>0</v>
      </c>
      <c r="BJ90" s="14">
        <f t="shared" si="53"/>
        <v>1</v>
      </c>
      <c r="BK90" s="14"/>
      <c r="BL90" s="14"/>
      <c r="BM90" s="14">
        <f t="shared" si="54"/>
        <v>1</v>
      </c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G90" s="239"/>
      <c r="CH90" s="239"/>
      <c r="CI90" s="239"/>
      <c r="CJ90" s="239"/>
      <c r="CK90" s="373" t="str">
        <f t="shared" si="44"/>
        <v>O2</v>
      </c>
      <c r="CL90" s="69">
        <f t="shared" si="45"/>
        <v>0</v>
      </c>
      <c r="CM90" s="69">
        <f t="shared" si="46"/>
        <v>0</v>
      </c>
      <c r="CN90" s="69">
        <f t="shared" si="47"/>
        <v>0</v>
      </c>
      <c r="CO90" s="70">
        <f t="shared" si="48"/>
        <v>5.184001649073764</v>
      </c>
      <c r="CP90" s="239"/>
      <c r="CQ90" s="239"/>
      <c r="CR90" s="239"/>
      <c r="CS90" s="239"/>
      <c r="CT90" s="239"/>
      <c r="CU90" s="239"/>
      <c r="CV90" s="239"/>
      <c r="CW90" s="239"/>
      <c r="CX90" s="239"/>
      <c r="CY90" s="239"/>
      <c r="CZ90" s="239"/>
      <c r="DA90" s="239"/>
      <c r="DB90" s="239"/>
      <c r="DC90" s="239"/>
    </row>
    <row r="91" spans="1:107" s="1" customFormat="1" ht="12.75">
      <c r="A91" s="239"/>
      <c r="B91" s="96" t="str">
        <f t="shared" si="49"/>
        <v>O3</v>
      </c>
      <c r="C91" s="212">
        <f t="shared" si="49"/>
        <v>11</v>
      </c>
      <c r="D91" s="212">
        <f t="shared" si="49"/>
        <v>294</v>
      </c>
      <c r="E91" s="212">
        <f t="shared" si="56"/>
        <v>23</v>
      </c>
      <c r="F91" s="212">
        <f t="shared" si="56"/>
        <v>44.2</v>
      </c>
      <c r="G91" s="73">
        <f t="shared" si="56"/>
        <v>12.656634402451607</v>
      </c>
      <c r="H91" s="73">
        <f t="shared" si="31"/>
        <v>37.57397232054313</v>
      </c>
      <c r="I91" s="71">
        <f t="shared" si="35"/>
        <v>6.626027679456875</v>
      </c>
      <c r="J91" s="212"/>
      <c r="K91" s="212"/>
      <c r="L91" s="71">
        <f t="shared" si="50"/>
        <v>-54.66224664739865</v>
      </c>
      <c r="M91" s="73">
        <f t="shared" si="36"/>
        <v>80.72237224049428</v>
      </c>
      <c r="N91" s="73">
        <f t="shared" si="51"/>
        <v>6.626027679456882</v>
      </c>
      <c r="O91" s="71">
        <f t="shared" si="37"/>
        <v>37.57397232054313</v>
      </c>
      <c r="P91" s="71">
        <f t="shared" si="38"/>
        <v>0</v>
      </c>
      <c r="Q91" s="74">
        <f t="shared" si="39"/>
        <v>0</v>
      </c>
      <c r="R91" s="239"/>
      <c r="S91" s="239"/>
      <c r="T91" s="239"/>
      <c r="U91" s="239"/>
      <c r="V91" s="239"/>
      <c r="W91" s="69"/>
      <c r="X91" s="69"/>
      <c r="Y91" s="239"/>
      <c r="Z91" s="68" t="str">
        <f t="shared" si="55"/>
        <v>O3</v>
      </c>
      <c r="AA91" s="97">
        <f t="shared" si="40"/>
        <v>44.2</v>
      </c>
      <c r="AB91" s="97">
        <f t="shared" si="41"/>
        <v>37.57397232054313</v>
      </c>
      <c r="AC91" s="70">
        <f t="shared" si="42"/>
        <v>37.57397232054313</v>
      </c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13"/>
      <c r="AW91" s="13"/>
      <c r="AX91" s="13"/>
      <c r="AY91" s="13"/>
      <c r="AZ91" s="13"/>
      <c r="BA91" s="13"/>
      <c r="BB91" s="13"/>
      <c r="BC91" s="71">
        <f t="shared" si="32"/>
        <v>9.411660602332098</v>
      </c>
      <c r="BD91" s="71">
        <f t="shared" si="33"/>
        <v>9.411660602332098</v>
      </c>
      <c r="BG91" s="14">
        <f t="shared" si="52"/>
        <v>80.72237224049428</v>
      </c>
      <c r="BH91" s="6"/>
      <c r="BI91" s="14">
        <f t="shared" si="43"/>
        <v>0</v>
      </c>
      <c r="BJ91" s="14">
        <f t="shared" si="53"/>
        <v>1</v>
      </c>
      <c r="BK91" s="14"/>
      <c r="BL91" s="14"/>
      <c r="BM91" s="14">
        <f t="shared" si="54"/>
        <v>1</v>
      </c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G91" s="239"/>
      <c r="CH91" s="239"/>
      <c r="CI91" s="239"/>
      <c r="CJ91" s="239"/>
      <c r="CK91" s="373" t="str">
        <f t="shared" si="44"/>
        <v>O3</v>
      </c>
      <c r="CL91" s="69">
        <f t="shared" si="45"/>
        <v>0</v>
      </c>
      <c r="CM91" s="69">
        <f t="shared" si="46"/>
        <v>0</v>
      </c>
      <c r="CN91" s="69">
        <f t="shared" si="47"/>
        <v>0</v>
      </c>
      <c r="CO91" s="70">
        <f t="shared" si="48"/>
        <v>6.626027679456882</v>
      </c>
      <c r="CP91" s="239"/>
      <c r="CQ91" s="239"/>
      <c r="CR91" s="239"/>
      <c r="CS91" s="239"/>
      <c r="CT91" s="239"/>
      <c r="CU91" s="239"/>
      <c r="CV91" s="239"/>
      <c r="CW91" s="239"/>
      <c r="CX91" s="239"/>
      <c r="CY91" s="239"/>
      <c r="CZ91" s="239"/>
      <c r="DA91" s="239"/>
      <c r="DB91" s="239"/>
      <c r="DC91" s="239"/>
    </row>
    <row r="92" spans="1:107" s="1" customFormat="1" ht="12.75">
      <c r="A92" s="239"/>
      <c r="B92" s="96" t="str">
        <f t="shared" si="49"/>
        <v>N1</v>
      </c>
      <c r="C92" s="212">
        <f t="shared" si="49"/>
        <v>10</v>
      </c>
      <c r="D92" s="212">
        <f t="shared" si="49"/>
        <v>305</v>
      </c>
      <c r="E92" s="212">
        <f t="shared" si="56"/>
        <v>23</v>
      </c>
      <c r="F92" s="212">
        <f t="shared" si="56"/>
        <v>30</v>
      </c>
      <c r="G92" s="73">
        <f t="shared" si="56"/>
        <v>12.867870139008165</v>
      </c>
      <c r="H92" s="73">
        <f t="shared" si="31"/>
        <v>34.728246866307686</v>
      </c>
      <c r="I92" s="71">
        <f t="shared" si="35"/>
        <v>-4.7282468663076855</v>
      </c>
      <c r="J92" s="212"/>
      <c r="K92" s="212"/>
      <c r="L92" s="71">
        <f t="shared" si="50"/>
        <v>-59.39049351370634</v>
      </c>
      <c r="M92" s="73">
        <f t="shared" si="36"/>
        <v>77.7259974705882</v>
      </c>
      <c r="N92" s="73">
        <f t="shared" si="51"/>
        <v>-2.996374769906083</v>
      </c>
      <c r="O92" s="71">
        <f t="shared" si="37"/>
        <v>32.99637476990608</v>
      </c>
      <c r="P92" s="71">
        <f t="shared" si="38"/>
        <v>1.7318720964016023</v>
      </c>
      <c r="Q92" s="74">
        <f t="shared" si="39"/>
        <v>0</v>
      </c>
      <c r="R92" s="239"/>
      <c r="S92" s="239"/>
      <c r="T92" s="239"/>
      <c r="U92" s="239"/>
      <c r="V92" s="239"/>
      <c r="W92" s="69"/>
      <c r="X92" s="69"/>
      <c r="Y92" s="239"/>
      <c r="Z92" s="68" t="str">
        <f t="shared" si="55"/>
        <v>N1</v>
      </c>
      <c r="AA92" s="97">
        <f t="shared" si="40"/>
        <v>30</v>
      </c>
      <c r="AB92" s="97">
        <f t="shared" si="41"/>
        <v>34.728246866307686</v>
      </c>
      <c r="AC92" s="70">
        <f t="shared" si="42"/>
        <v>32.99637476990608</v>
      </c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13"/>
      <c r="AW92" s="13"/>
      <c r="AX92" s="13"/>
      <c r="AY92" s="13"/>
      <c r="AZ92" s="13"/>
      <c r="BA92" s="13"/>
      <c r="BB92" s="13"/>
      <c r="BC92" s="71">
        <f t="shared" si="32"/>
        <v>27.669061562040305</v>
      </c>
      <c r="BD92" s="71">
        <f t="shared" si="33"/>
        <v>27.669061562040305</v>
      </c>
      <c r="BG92" s="14">
        <f t="shared" si="52"/>
        <v>77.7259974705882</v>
      </c>
      <c r="BH92" s="6"/>
      <c r="BI92" s="14">
        <f t="shared" si="43"/>
        <v>0</v>
      </c>
      <c r="BJ92" s="14">
        <f t="shared" si="53"/>
        <v>1</v>
      </c>
      <c r="BK92" s="14"/>
      <c r="BL92" s="14"/>
      <c r="BM92" s="14">
        <f t="shared" si="54"/>
        <v>1</v>
      </c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G92" s="239"/>
      <c r="CH92" s="239"/>
      <c r="CI92" s="239"/>
      <c r="CJ92" s="239"/>
      <c r="CK92" s="373" t="str">
        <f t="shared" si="44"/>
        <v>N1</v>
      </c>
      <c r="CL92" s="69">
        <f t="shared" si="45"/>
        <v>0</v>
      </c>
      <c r="CM92" s="69">
        <f t="shared" si="46"/>
        <v>-1.7318720964016023</v>
      </c>
      <c r="CN92" s="69">
        <f t="shared" si="47"/>
        <v>-2.996374769906083</v>
      </c>
      <c r="CO92" s="70">
        <f t="shared" si="48"/>
        <v>0</v>
      </c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</row>
    <row r="93" spans="1:107" s="1" customFormat="1" ht="12.75">
      <c r="A93" s="239"/>
      <c r="B93" s="96" t="str">
        <f t="shared" si="49"/>
        <v>N2</v>
      </c>
      <c r="C93" s="212">
        <f t="shared" si="49"/>
        <v>10</v>
      </c>
      <c r="D93" s="212">
        <f t="shared" si="49"/>
        <v>315</v>
      </c>
      <c r="E93" s="212">
        <f t="shared" si="56"/>
        <v>22.5</v>
      </c>
      <c r="F93" s="212">
        <f t="shared" si="56"/>
        <v>42.8</v>
      </c>
      <c r="G93" s="73">
        <f t="shared" si="56"/>
        <v>13.03770440822065</v>
      </c>
      <c r="H93" s="73">
        <f t="shared" si="31"/>
        <v>33.3883393976679</v>
      </c>
      <c r="I93" s="71">
        <f t="shared" si="35"/>
        <v>9.411660602332098</v>
      </c>
      <c r="J93" s="212"/>
      <c r="K93" s="212"/>
      <c r="L93" s="71">
        <f t="shared" si="50"/>
        <v>-45.10307405354561</v>
      </c>
      <c r="M93" s="73">
        <f t="shared" si="36"/>
        <v>87.13765807292029</v>
      </c>
      <c r="N93" s="73">
        <f t="shared" si="51"/>
        <v>9.411660602332091</v>
      </c>
      <c r="O93" s="71">
        <f t="shared" si="37"/>
        <v>33.3883393976679</v>
      </c>
      <c r="P93" s="71">
        <f t="shared" si="38"/>
        <v>0</v>
      </c>
      <c r="Q93" s="74">
        <f t="shared" si="39"/>
        <v>0</v>
      </c>
      <c r="R93" s="239"/>
      <c r="S93" s="239"/>
      <c r="T93" s="239"/>
      <c r="U93" s="239"/>
      <c r="V93" s="239"/>
      <c r="W93" s="69"/>
      <c r="X93" s="69"/>
      <c r="Y93" s="239"/>
      <c r="Z93" s="68" t="str">
        <f t="shared" si="55"/>
        <v>N2</v>
      </c>
      <c r="AA93" s="97">
        <f t="shared" si="40"/>
        <v>42.8</v>
      </c>
      <c r="AB93" s="97">
        <f t="shared" si="41"/>
        <v>33.3883393976679</v>
      </c>
      <c r="AC93" s="70">
        <f t="shared" si="42"/>
        <v>33.3883393976679</v>
      </c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13"/>
      <c r="AW93" s="13"/>
      <c r="AX93" s="13"/>
      <c r="AY93" s="13"/>
      <c r="AZ93" s="13"/>
      <c r="BA93" s="13"/>
      <c r="BB93" s="13"/>
      <c r="BC93" s="71">
        <f t="shared" si="32"/>
        <v>40.3380911279721</v>
      </c>
      <c r="BD93" s="71">
        <f t="shared" si="33"/>
        <v>40.3380911279721</v>
      </c>
      <c r="BG93" s="14">
        <f t="shared" si="52"/>
        <v>87.13765807292029</v>
      </c>
      <c r="BH93" s="6"/>
      <c r="BI93" s="14">
        <f t="shared" si="43"/>
        <v>0</v>
      </c>
      <c r="BJ93" s="14">
        <f t="shared" si="53"/>
        <v>1</v>
      </c>
      <c r="BK93" s="14"/>
      <c r="BL93" s="14"/>
      <c r="BM93" s="14">
        <f t="shared" si="54"/>
        <v>1</v>
      </c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G93" s="239"/>
      <c r="CH93" s="239"/>
      <c r="CI93" s="239"/>
      <c r="CJ93" s="239"/>
      <c r="CK93" s="373" t="str">
        <f t="shared" si="44"/>
        <v>N2</v>
      </c>
      <c r="CL93" s="69">
        <f t="shared" si="45"/>
        <v>0</v>
      </c>
      <c r="CM93" s="69">
        <f t="shared" si="46"/>
        <v>0</v>
      </c>
      <c r="CN93" s="69">
        <f t="shared" si="47"/>
        <v>0</v>
      </c>
      <c r="CO93" s="70">
        <f t="shared" si="48"/>
        <v>9.411660602332091</v>
      </c>
      <c r="CP93" s="239"/>
      <c r="CQ93" s="239"/>
      <c r="CR93" s="239"/>
      <c r="CS93" s="239"/>
      <c r="CT93" s="239"/>
      <c r="CU93" s="239"/>
      <c r="CV93" s="239"/>
      <c r="CW93" s="239"/>
      <c r="CX93" s="239"/>
      <c r="CY93" s="239"/>
      <c r="CZ93" s="239"/>
      <c r="DA93" s="239"/>
      <c r="DB93" s="239"/>
      <c r="DC93" s="239"/>
    </row>
    <row r="94" spans="1:107" s="1" customFormat="1" ht="12.75">
      <c r="A94" s="239"/>
      <c r="B94" s="96" t="str">
        <f t="shared" si="49"/>
        <v>N3</v>
      </c>
      <c r="C94" s="212">
        <f t="shared" si="49"/>
        <v>10</v>
      </c>
      <c r="D94" s="212">
        <f t="shared" si="49"/>
        <v>325</v>
      </c>
      <c r="E94" s="212">
        <f t="shared" si="56"/>
        <v>23.5</v>
      </c>
      <c r="F94" s="212">
        <f t="shared" si="56"/>
        <v>55.7</v>
      </c>
      <c r="G94" s="73">
        <f t="shared" si="56"/>
        <v>13.179449777658055</v>
      </c>
      <c r="H94" s="73">
        <f t="shared" si="31"/>
        <v>37.442599040291796</v>
      </c>
      <c r="I94" s="71">
        <f t="shared" si="35"/>
        <v>18.257400959708207</v>
      </c>
      <c r="J94" s="212"/>
      <c r="K94" s="212"/>
      <c r="L94" s="71">
        <f t="shared" si="50"/>
        <v>-21.324747567770633</v>
      </c>
      <c r="M94" s="73">
        <f t="shared" si="36"/>
        <v>105.3950590326285</v>
      </c>
      <c r="N94" s="73">
        <f t="shared" si="51"/>
        <v>18.257400959708207</v>
      </c>
      <c r="O94" s="71">
        <f t="shared" si="37"/>
        <v>37.442599040291796</v>
      </c>
      <c r="P94" s="71">
        <f t="shared" si="38"/>
        <v>0</v>
      </c>
      <c r="Q94" s="74">
        <f t="shared" si="39"/>
        <v>0</v>
      </c>
      <c r="R94" s="239"/>
      <c r="S94" s="239"/>
      <c r="T94" s="239"/>
      <c r="U94" s="239"/>
      <c r="V94" s="239"/>
      <c r="W94" s="69"/>
      <c r="X94" s="69"/>
      <c r="Y94" s="239"/>
      <c r="Z94" s="68" t="str">
        <f t="shared" si="55"/>
        <v>N3</v>
      </c>
      <c r="AA94" s="97">
        <f t="shared" si="40"/>
        <v>55.7</v>
      </c>
      <c r="AB94" s="97">
        <f t="shared" si="41"/>
        <v>37.442599040291796</v>
      </c>
      <c r="AC94" s="70">
        <f t="shared" si="42"/>
        <v>37.442599040291796</v>
      </c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13"/>
      <c r="AW94" s="13"/>
      <c r="AX94" s="13"/>
      <c r="AY94" s="13"/>
      <c r="AZ94" s="13"/>
      <c r="BA94" s="13"/>
      <c r="BB94" s="13"/>
      <c r="BC94" s="71">
        <f t="shared" si="32"/>
        <v>59.23696620885721</v>
      </c>
      <c r="BD94" s="71">
        <f t="shared" si="33"/>
        <v>59.23696620885721</v>
      </c>
      <c r="BG94" s="14">
        <f t="shared" si="52"/>
        <v>105.3950590326285</v>
      </c>
      <c r="BH94" s="6"/>
      <c r="BI94" s="14">
        <f t="shared" si="43"/>
        <v>0</v>
      </c>
      <c r="BJ94" s="14">
        <f t="shared" si="53"/>
        <v>1</v>
      </c>
      <c r="BK94" s="14"/>
      <c r="BL94" s="14"/>
      <c r="BM94" s="14">
        <f t="shared" si="54"/>
        <v>1</v>
      </c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G94" s="239"/>
      <c r="CH94" s="239"/>
      <c r="CI94" s="239"/>
      <c r="CJ94" s="239"/>
      <c r="CK94" s="373" t="str">
        <f t="shared" si="44"/>
        <v>N3</v>
      </c>
      <c r="CL94" s="69">
        <f t="shared" si="45"/>
        <v>0</v>
      </c>
      <c r="CM94" s="69">
        <f t="shared" si="46"/>
        <v>0</v>
      </c>
      <c r="CN94" s="69">
        <f t="shared" si="47"/>
        <v>0</v>
      </c>
      <c r="CO94" s="70">
        <f t="shared" si="48"/>
        <v>18.257400959708207</v>
      </c>
      <c r="CP94" s="239"/>
      <c r="CQ94" s="239"/>
      <c r="CR94" s="239"/>
      <c r="CS94" s="239"/>
      <c r="CT94" s="239"/>
      <c r="CU94" s="239"/>
      <c r="CV94" s="239"/>
      <c r="CW94" s="239"/>
      <c r="CX94" s="239"/>
      <c r="CY94" s="239"/>
      <c r="CZ94" s="239"/>
      <c r="DA94" s="239"/>
      <c r="DB94" s="239"/>
      <c r="DC94" s="239"/>
    </row>
    <row r="95" spans="1:107" s="1" customFormat="1" ht="13.5" thickBot="1">
      <c r="A95" s="239"/>
      <c r="B95" s="96" t="str">
        <f t="shared" si="49"/>
        <v>D1</v>
      </c>
      <c r="C95" s="212">
        <f t="shared" si="49"/>
        <v>10</v>
      </c>
      <c r="D95" s="212">
        <f t="shared" si="49"/>
        <v>335</v>
      </c>
      <c r="E95" s="212">
        <f t="shared" si="56"/>
        <v>23.6</v>
      </c>
      <c r="F95" s="212">
        <f t="shared" si="56"/>
        <v>50.8</v>
      </c>
      <c r="G95" s="73">
        <f t="shared" si="56"/>
        <v>13.286408662630377</v>
      </c>
      <c r="H95" s="73">
        <f t="shared" si="31"/>
        <v>38.1309704340682</v>
      </c>
      <c r="I95" s="71">
        <f t="shared" si="35"/>
        <v>12.669029565931794</v>
      </c>
      <c r="J95" s="212"/>
      <c r="K95" s="212"/>
      <c r="L95" s="71">
        <f t="shared" si="50"/>
        <v>-7.135767069790881</v>
      </c>
      <c r="M95" s="73">
        <f t="shared" si="36"/>
        <v>118.06408859856029</v>
      </c>
      <c r="N95" s="73">
        <f t="shared" si="51"/>
        <v>12.669029565931794</v>
      </c>
      <c r="O95" s="71">
        <f t="shared" si="37"/>
        <v>38.1309704340682</v>
      </c>
      <c r="P95" s="71">
        <f t="shared" si="38"/>
        <v>0</v>
      </c>
      <c r="Q95" s="74">
        <f t="shared" si="39"/>
        <v>0</v>
      </c>
      <c r="R95" s="239"/>
      <c r="S95" s="239"/>
      <c r="T95" s="239"/>
      <c r="U95" s="239"/>
      <c r="V95" s="239"/>
      <c r="W95" s="69"/>
      <c r="X95" s="69"/>
      <c r="Y95" s="239"/>
      <c r="Z95" s="68" t="str">
        <f t="shared" si="55"/>
        <v>D1</v>
      </c>
      <c r="AA95" s="97">
        <f t="shared" si="40"/>
        <v>50.8</v>
      </c>
      <c r="AB95" s="97">
        <f t="shared" si="41"/>
        <v>38.1309704340682</v>
      </c>
      <c r="AC95" s="70">
        <f t="shared" si="42"/>
        <v>38.1309704340682</v>
      </c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13"/>
      <c r="AW95" s="13"/>
      <c r="AX95" s="13"/>
      <c r="AY95" s="13"/>
      <c r="AZ95" s="13"/>
      <c r="BA95" s="13"/>
      <c r="BB95" s="13"/>
      <c r="BC95" s="71">
        <f t="shared" si="32"/>
        <v>105.7863316770161</v>
      </c>
      <c r="BD95" s="71">
        <f t="shared" si="33"/>
        <v>105.7863316770161</v>
      </c>
      <c r="BG95" s="14">
        <f t="shared" si="52"/>
        <v>118.06408859856029</v>
      </c>
      <c r="BH95" s="6"/>
      <c r="BI95" s="14">
        <f t="shared" si="43"/>
        <v>0</v>
      </c>
      <c r="BJ95" s="14">
        <f t="shared" si="53"/>
        <v>1</v>
      </c>
      <c r="BK95" s="14"/>
      <c r="BL95" s="14"/>
      <c r="BM95" s="14">
        <f t="shared" si="54"/>
        <v>1</v>
      </c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G95" s="239"/>
      <c r="CH95" s="239"/>
      <c r="CI95" s="239"/>
      <c r="CJ95" s="239"/>
      <c r="CK95" s="373" t="str">
        <f t="shared" si="44"/>
        <v>D1</v>
      </c>
      <c r="CL95" s="69">
        <f t="shared" si="45"/>
        <v>0</v>
      </c>
      <c r="CM95" s="69">
        <f t="shared" si="46"/>
        <v>0</v>
      </c>
      <c r="CN95" s="69">
        <f t="shared" si="47"/>
        <v>0</v>
      </c>
      <c r="CO95" s="70">
        <f t="shared" si="48"/>
        <v>12.669029565931794</v>
      </c>
      <c r="CP95" s="239"/>
      <c r="CQ95" s="239"/>
      <c r="CR95" s="239"/>
      <c r="CS95" s="239"/>
      <c r="CT95" s="239"/>
      <c r="CU95" s="239"/>
      <c r="CV95" s="239"/>
      <c r="CW95" s="239"/>
      <c r="CX95" s="239"/>
      <c r="CY95" s="239"/>
      <c r="CZ95" s="239"/>
      <c r="DA95" s="239"/>
      <c r="DB95" s="239"/>
      <c r="DC95" s="239"/>
    </row>
    <row r="96" spans="1:107" s="1" customFormat="1" ht="13.5" thickBot="1">
      <c r="A96" s="239"/>
      <c r="B96" s="96" t="str">
        <f t="shared" si="49"/>
        <v>D2</v>
      </c>
      <c r="C96" s="212">
        <f t="shared" si="49"/>
        <v>10</v>
      </c>
      <c r="D96" s="212">
        <f t="shared" si="49"/>
        <v>345</v>
      </c>
      <c r="E96" s="212">
        <f t="shared" si="56"/>
        <v>23.8</v>
      </c>
      <c r="F96" s="212">
        <f t="shared" si="56"/>
        <v>58</v>
      </c>
      <c r="G96" s="73">
        <f t="shared" si="56"/>
        <v>13.352776775105346</v>
      </c>
      <c r="H96" s="73">
        <f t="shared" si="31"/>
        <v>39.10112491911489</v>
      </c>
      <c r="I96" s="71">
        <f t="shared" si="35"/>
        <v>18.898875080885112</v>
      </c>
      <c r="J96" s="212"/>
      <c r="K96" s="212"/>
      <c r="L96" s="71">
        <f t="shared" si="50"/>
        <v>0</v>
      </c>
      <c r="M96" s="73">
        <f t="shared" si="36"/>
        <v>125</v>
      </c>
      <c r="N96" s="73">
        <f t="shared" si="51"/>
        <v>6.935911401439711</v>
      </c>
      <c r="O96" s="71">
        <f t="shared" si="37"/>
        <v>39.10112491911489</v>
      </c>
      <c r="P96" s="71">
        <f t="shared" si="38"/>
        <v>0</v>
      </c>
      <c r="Q96" s="74">
        <f t="shared" si="39"/>
        <v>11.962963679445402</v>
      </c>
      <c r="R96" s="239"/>
      <c r="S96" s="239"/>
      <c r="T96" s="239"/>
      <c r="U96" s="239"/>
      <c r="V96" s="239"/>
      <c r="W96" s="69"/>
      <c r="X96" s="69"/>
      <c r="Y96" s="239"/>
      <c r="Z96" s="68" t="str">
        <f t="shared" si="55"/>
        <v>D2</v>
      </c>
      <c r="AA96" s="97">
        <f t="shared" si="40"/>
        <v>58</v>
      </c>
      <c r="AB96" s="97">
        <f t="shared" si="41"/>
        <v>39.10112491911489</v>
      </c>
      <c r="AC96" s="70">
        <f t="shared" si="42"/>
        <v>39.10112491911489</v>
      </c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13"/>
      <c r="AW96" s="13"/>
      <c r="AX96" s="13"/>
      <c r="AY96" s="13"/>
      <c r="AZ96" s="13"/>
      <c r="BC96" s="98">
        <f>SUM(BC60:BC95)</f>
        <v>1326.8263314047565</v>
      </c>
      <c r="BD96" s="98">
        <f>SUM(BD60:BD95)</f>
        <v>1326.8263314047565</v>
      </c>
      <c r="BG96" s="14">
        <f t="shared" si="52"/>
        <v>136.9629636794454</v>
      </c>
      <c r="BH96" s="6"/>
      <c r="BI96" s="14">
        <f t="shared" si="43"/>
        <v>0</v>
      </c>
      <c r="BJ96" s="14">
        <f t="shared" si="53"/>
        <v>1</v>
      </c>
      <c r="BK96" s="14"/>
      <c r="BL96" s="14"/>
      <c r="BM96" s="14">
        <f t="shared" si="54"/>
        <v>1</v>
      </c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G96" s="239"/>
      <c r="CH96" s="239"/>
      <c r="CI96" s="239"/>
      <c r="CJ96" s="239"/>
      <c r="CK96" s="373" t="str">
        <f t="shared" si="44"/>
        <v>D2</v>
      </c>
      <c r="CL96" s="69">
        <f t="shared" si="45"/>
        <v>11.962963679445402</v>
      </c>
      <c r="CM96" s="69">
        <f t="shared" si="46"/>
        <v>0</v>
      </c>
      <c r="CN96" s="69">
        <f t="shared" si="47"/>
        <v>0</v>
      </c>
      <c r="CO96" s="70">
        <f t="shared" si="48"/>
        <v>6.935911401439711</v>
      </c>
      <c r="CP96" s="239"/>
      <c r="CQ96" s="239"/>
      <c r="CR96" s="239"/>
      <c r="CS96" s="239"/>
      <c r="CT96" s="239"/>
      <c r="CU96" s="239"/>
      <c r="CV96" s="239"/>
      <c r="CW96" s="239"/>
      <c r="CX96" s="239"/>
      <c r="CY96" s="239"/>
      <c r="CZ96" s="239"/>
      <c r="DA96" s="239"/>
      <c r="DB96" s="239"/>
      <c r="DC96" s="239"/>
    </row>
    <row r="97" spans="1:107" s="1" customFormat="1" ht="13.5" thickBot="1">
      <c r="A97" s="239"/>
      <c r="B97" s="96" t="str">
        <f t="shared" si="49"/>
        <v>D3</v>
      </c>
      <c r="C97" s="214">
        <f t="shared" si="49"/>
        <v>11</v>
      </c>
      <c r="D97" s="212">
        <f t="shared" si="49"/>
        <v>355</v>
      </c>
      <c r="E97" s="212">
        <f t="shared" si="56"/>
        <v>24</v>
      </c>
      <c r="F97" s="212">
        <f t="shared" si="56"/>
        <v>90.5</v>
      </c>
      <c r="G97" s="73">
        <f t="shared" si="56"/>
        <v>13.374593485546477</v>
      </c>
      <c r="H97" s="73">
        <f t="shared" si="31"/>
        <v>43.95063453184112</v>
      </c>
      <c r="I97" s="71">
        <f t="shared" si="35"/>
        <v>46.54936546815888</v>
      </c>
      <c r="J97" s="212"/>
      <c r="K97" s="212"/>
      <c r="L97" s="99">
        <f t="shared" si="50"/>
        <v>0</v>
      </c>
      <c r="M97" s="100">
        <f t="shared" si="36"/>
        <v>125</v>
      </c>
      <c r="N97" s="73">
        <f t="shared" si="51"/>
        <v>0</v>
      </c>
      <c r="O97" s="71">
        <f t="shared" si="37"/>
        <v>43.95063453184112</v>
      </c>
      <c r="P97" s="71">
        <f t="shared" si="38"/>
        <v>0</v>
      </c>
      <c r="Q97" s="74">
        <f t="shared" si="39"/>
        <v>46.54936546815888</v>
      </c>
      <c r="R97" s="239"/>
      <c r="S97" s="239"/>
      <c r="T97" s="239"/>
      <c r="U97" s="239"/>
      <c r="V97" s="239"/>
      <c r="W97" s="69"/>
      <c r="X97" s="69"/>
      <c r="Y97" s="239"/>
      <c r="Z97" s="68" t="str">
        <f t="shared" si="55"/>
        <v>D3</v>
      </c>
      <c r="AA97" s="97">
        <f t="shared" si="40"/>
        <v>90.5</v>
      </c>
      <c r="AB97" s="97">
        <f t="shared" si="41"/>
        <v>43.95063453184112</v>
      </c>
      <c r="AC97" s="216">
        <f t="shared" si="42"/>
        <v>43.95063453184112</v>
      </c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13"/>
      <c r="AW97" s="13"/>
      <c r="AX97" s="13"/>
      <c r="AY97" s="13"/>
      <c r="AZ97" s="13"/>
      <c r="BC97" s="98">
        <f>AVERAGE(BC60:BC95)</f>
        <v>36.85628698346546</v>
      </c>
      <c r="BD97" s="98">
        <f>AVERAGE(BD60:BD95)</f>
        <v>36.85628698346546</v>
      </c>
      <c r="BG97" s="14">
        <f t="shared" si="52"/>
        <v>183.5123291476043</v>
      </c>
      <c r="BH97" s="6"/>
      <c r="BI97" s="14">
        <f t="shared" si="43"/>
        <v>0</v>
      </c>
      <c r="BJ97" s="14">
        <f t="shared" si="53"/>
        <v>1</v>
      </c>
      <c r="BK97" s="14"/>
      <c r="BL97" s="14"/>
      <c r="BM97" s="14">
        <f t="shared" si="54"/>
        <v>1</v>
      </c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G97" s="239"/>
      <c r="CH97" s="239"/>
      <c r="CI97" s="239"/>
      <c r="CJ97" s="239"/>
      <c r="CK97" s="374" t="str">
        <f t="shared" si="44"/>
        <v>D3</v>
      </c>
      <c r="CL97" s="76">
        <f t="shared" si="45"/>
        <v>46.54936546815888</v>
      </c>
      <c r="CM97" s="76">
        <f t="shared" si="46"/>
        <v>0</v>
      </c>
      <c r="CN97" s="76">
        <f t="shared" si="47"/>
        <v>0</v>
      </c>
      <c r="CO97" s="77">
        <f t="shared" si="48"/>
        <v>0</v>
      </c>
      <c r="CP97" s="239"/>
      <c r="CQ97" s="239"/>
      <c r="CR97" s="239"/>
      <c r="CS97" s="239"/>
      <c r="CT97" s="239"/>
      <c r="CU97" s="239"/>
      <c r="CV97" s="239"/>
      <c r="CW97" s="239"/>
      <c r="CX97" s="239"/>
      <c r="CY97" s="239"/>
      <c r="CZ97" s="239"/>
      <c r="DA97" s="239"/>
      <c r="DB97" s="239"/>
      <c r="DC97" s="239"/>
    </row>
    <row r="98" spans="1:107" s="1" customFormat="1" ht="13.5" thickBot="1">
      <c r="A98" s="239"/>
      <c r="B98" s="101" t="s">
        <v>77</v>
      </c>
      <c r="C98" s="102"/>
      <c r="D98" s="103"/>
      <c r="E98" s="98">
        <f>SUM(E62:E97)</f>
        <v>765.6999999999999</v>
      </c>
      <c r="F98" s="98">
        <f>SUM(F62:F97)</f>
        <v>1253.6000000000001</v>
      </c>
      <c r="G98" s="98">
        <f>SUM(G62:G97)</f>
        <v>432.08487961335555</v>
      </c>
      <c r="H98" s="98">
        <f>SUM(H62:H97)</f>
        <v>1021.8177733714846</v>
      </c>
      <c r="I98" s="98">
        <f>SUM(I62:I97)</f>
        <v>231.78222662851562</v>
      </c>
      <c r="J98" s="98"/>
      <c r="K98" s="98"/>
      <c r="L98" s="103"/>
      <c r="M98" s="104">
        <f>SUM(M62:M97)</f>
        <v>3704.3391397023975</v>
      </c>
      <c r="N98" s="105">
        <f>SUM(N62:N97)</f>
        <v>0</v>
      </c>
      <c r="O98" s="98">
        <f>SUM(O62:O97)</f>
        <v>994.8448665701582</v>
      </c>
      <c r="P98" s="98">
        <f>SUM(P62:P97)</f>
        <v>26.972906801326516</v>
      </c>
      <c r="Q98" s="106">
        <f>SUM(Q62:Q97)</f>
        <v>258.75513342984215</v>
      </c>
      <c r="R98" s="239"/>
      <c r="S98" s="239"/>
      <c r="T98" s="239"/>
      <c r="U98" s="239"/>
      <c r="V98" s="239"/>
      <c r="W98" s="69"/>
      <c r="X98" s="69"/>
      <c r="Y98" s="69"/>
      <c r="Z98" s="283"/>
      <c r="AA98" s="284"/>
      <c r="AB98" s="284"/>
      <c r="AC98" s="284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13"/>
      <c r="AW98" s="13"/>
      <c r="AX98" s="13"/>
      <c r="AY98" s="13"/>
      <c r="AZ98" s="13"/>
      <c r="BG98" s="14"/>
      <c r="BH98" s="6"/>
      <c r="BI98" s="14"/>
      <c r="BJ98" s="14"/>
      <c r="BK98" s="14"/>
      <c r="BL98" s="14"/>
      <c r="BM98" s="14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G98" s="239"/>
      <c r="CH98" s="239"/>
      <c r="CI98" s="239"/>
      <c r="CJ98" s="239"/>
      <c r="CK98" s="239"/>
      <c r="CL98" s="239"/>
      <c r="CM98" s="239"/>
      <c r="CN98" s="239"/>
      <c r="CO98" s="239"/>
      <c r="CP98" s="239"/>
      <c r="CQ98" s="239"/>
      <c r="CR98" s="239"/>
      <c r="CS98" s="239"/>
      <c r="CT98" s="239"/>
      <c r="CU98" s="239"/>
      <c r="CV98" s="239"/>
      <c r="CW98" s="239"/>
      <c r="CX98" s="239"/>
      <c r="CY98" s="239"/>
      <c r="CZ98" s="239"/>
      <c r="DA98" s="239"/>
      <c r="DB98" s="239"/>
      <c r="DC98" s="239"/>
    </row>
    <row r="99" spans="1:107" s="1" customFormat="1" ht="13.5" thickBot="1">
      <c r="A99" s="239"/>
      <c r="B99" s="101" t="s">
        <v>78</v>
      </c>
      <c r="C99" s="102"/>
      <c r="D99" s="103"/>
      <c r="E99" s="98">
        <f>AVERAGE(E62:E97)</f>
        <v>21.269444444444442</v>
      </c>
      <c r="F99" s="98">
        <f>AVERAGE(F62:F97)</f>
        <v>34.82222222222222</v>
      </c>
      <c r="G99" s="98">
        <f>AVERAGE(G62:G97)</f>
        <v>12.002357767037655</v>
      </c>
      <c r="H99" s="98">
        <f>AVERAGE(H62:H97)</f>
        <v>28.383827038096793</v>
      </c>
      <c r="I99" s="98">
        <f>AVERAGE(I62:I97)</f>
        <v>6.438395184125434</v>
      </c>
      <c r="J99" s="98"/>
      <c r="K99" s="98"/>
      <c r="L99" s="103" t="s">
        <v>18</v>
      </c>
      <c r="M99" s="105">
        <f>AVERAGE(M62:M97)</f>
        <v>102.89830943617771</v>
      </c>
      <c r="N99" s="107"/>
      <c r="O99" s="98">
        <f>AVERAGE(O62:O97)</f>
        <v>27.634579626948838</v>
      </c>
      <c r="P99" s="98">
        <f>AVERAGE(P62:P97)</f>
        <v>0.7492474111479588</v>
      </c>
      <c r="Q99" s="106">
        <f>AVERAGE(Q62:Q97)</f>
        <v>7.187642595273393</v>
      </c>
      <c r="R99" s="239"/>
      <c r="S99" s="239"/>
      <c r="T99" s="239"/>
      <c r="U99" s="239"/>
      <c r="V99" s="239"/>
      <c r="W99" s="69"/>
      <c r="X99" s="69"/>
      <c r="Y99" s="69"/>
      <c r="Z99" s="69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13"/>
      <c r="AW99" s="13"/>
      <c r="AX99" s="13"/>
      <c r="AY99" s="13"/>
      <c r="AZ99" s="13"/>
      <c r="BG99" s="16">
        <f>AVERAGE(BG62:BG97)</f>
        <v>126.91439587200219</v>
      </c>
      <c r="BH99" s="6"/>
      <c r="BI99" s="14"/>
      <c r="BJ99" s="16" t="s">
        <v>18</v>
      </c>
      <c r="BK99" s="16"/>
      <c r="BL99" s="16"/>
      <c r="BM99" s="16" t="s">
        <v>18</v>
      </c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G99" s="239"/>
      <c r="CH99" s="239"/>
      <c r="CI99" s="239"/>
      <c r="CJ99" s="239"/>
      <c r="CK99" s="239"/>
      <c r="CL99" s="239"/>
      <c r="CM99" s="239"/>
      <c r="CN99" s="239"/>
      <c r="CO99" s="239"/>
      <c r="CP99" s="239"/>
      <c r="CQ99" s="239"/>
      <c r="CR99" s="239"/>
      <c r="CS99" s="239"/>
      <c r="CT99" s="239"/>
      <c r="CU99" s="239"/>
      <c r="CV99" s="239"/>
      <c r="CW99" s="239"/>
      <c r="CX99" s="239"/>
      <c r="CY99" s="239"/>
      <c r="CZ99" s="239"/>
      <c r="DA99" s="239"/>
      <c r="DB99" s="239"/>
      <c r="DC99" s="239"/>
    </row>
    <row r="100" spans="1:107" s="1" customFormat="1" ht="14.25">
      <c r="A100" s="239"/>
      <c r="B100" s="212"/>
      <c r="C100" s="233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33"/>
      <c r="S100" s="73"/>
      <c r="T100" s="71"/>
      <c r="U100" s="71"/>
      <c r="V100" s="71"/>
      <c r="W100" s="69"/>
      <c r="X100" s="69"/>
      <c r="Y100" s="69"/>
      <c r="Z100" s="47" t="s">
        <v>79</v>
      </c>
      <c r="AA100" s="48"/>
      <c r="AB100" s="49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13"/>
      <c r="AW100" s="13"/>
      <c r="AX100" s="13"/>
      <c r="AY100" s="13"/>
      <c r="AZ100" s="13"/>
      <c r="BG100" s="14"/>
      <c r="BH100" s="6"/>
      <c r="BI100" s="6"/>
      <c r="BJ100" s="6"/>
      <c r="BK100" s="6"/>
      <c r="BL100" s="6"/>
      <c r="BM100" s="1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G100" s="239"/>
      <c r="CH100" s="239"/>
      <c r="CI100" s="239"/>
      <c r="CJ100" s="239"/>
      <c r="CK100" s="239"/>
      <c r="CL100" s="239"/>
      <c r="CM100" s="239"/>
      <c r="CN100" s="239"/>
      <c r="CO100" s="239"/>
      <c r="CP100" s="239"/>
      <c r="CQ100" s="239"/>
      <c r="CR100" s="239"/>
      <c r="CS100" s="239"/>
      <c r="CT100" s="239"/>
      <c r="CU100" s="239"/>
      <c r="CV100" s="239"/>
      <c r="CW100" s="239"/>
      <c r="CX100" s="239"/>
      <c r="CY100" s="239"/>
      <c r="CZ100" s="239"/>
      <c r="DA100" s="239"/>
      <c r="DB100" s="239"/>
      <c r="DC100" s="239"/>
    </row>
    <row r="101" spans="1:107" ht="14.25">
      <c r="A101" s="239"/>
      <c r="B101" s="212"/>
      <c r="C101" s="233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33"/>
      <c r="S101" s="73"/>
      <c r="T101" s="71"/>
      <c r="U101" s="71"/>
      <c r="V101" s="71"/>
      <c r="W101" s="69"/>
      <c r="X101" s="69"/>
      <c r="Y101" s="69"/>
      <c r="Z101" s="59" t="s">
        <v>80</v>
      </c>
      <c r="AA101" s="60" t="s">
        <v>14</v>
      </c>
      <c r="AB101" s="61" t="s">
        <v>38</v>
      </c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13"/>
      <c r="AW101" s="13"/>
      <c r="AX101" s="13"/>
      <c r="AY101" s="13"/>
      <c r="AZ101" s="13"/>
      <c r="BG101" s="14"/>
      <c r="BM101" s="16"/>
      <c r="CG101" s="256"/>
      <c r="CH101" s="256"/>
      <c r="CI101" s="256"/>
      <c r="CJ101" s="256"/>
      <c r="CK101" s="256"/>
      <c r="CL101" s="256"/>
      <c r="CM101" s="256"/>
      <c r="CN101" s="256"/>
      <c r="CO101" s="256"/>
      <c r="CP101" s="256"/>
      <c r="CQ101" s="256"/>
      <c r="CR101" s="256"/>
      <c r="CS101" s="256"/>
      <c r="CT101" s="256"/>
      <c r="CU101" s="256"/>
      <c r="CV101" s="256"/>
      <c r="CW101" s="256"/>
      <c r="CX101" s="256"/>
      <c r="CY101" s="256"/>
      <c r="CZ101" s="256"/>
      <c r="DA101" s="256"/>
      <c r="DB101" s="256"/>
      <c r="DC101" s="256"/>
    </row>
    <row r="102" spans="1:107" ht="12.75">
      <c r="A102" s="239"/>
      <c r="B102" s="212"/>
      <c r="C102" s="233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33"/>
      <c r="S102" s="73"/>
      <c r="T102" s="71"/>
      <c r="U102" s="71"/>
      <c r="V102" s="71"/>
      <c r="W102" s="69"/>
      <c r="X102" s="69"/>
      <c r="Y102" s="69"/>
      <c r="Z102" s="68" t="str">
        <f>Z19</f>
        <v>J1</v>
      </c>
      <c r="AA102" s="69">
        <f aca="true" t="shared" si="57" ref="AA102:AA137">$C$10</f>
        <v>125</v>
      </c>
      <c r="AB102" s="70">
        <f aca="true" t="shared" si="58" ref="AB102:AB137">M62</f>
        <v>125</v>
      </c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13"/>
      <c r="AW102" s="13"/>
      <c r="AX102" s="13"/>
      <c r="AY102" s="13"/>
      <c r="AZ102" s="13"/>
      <c r="BG102" s="14"/>
      <c r="BM102" s="16"/>
      <c r="CG102" s="256"/>
      <c r="CH102" s="256"/>
      <c r="CI102" s="256"/>
      <c r="CJ102" s="256"/>
      <c r="CK102" s="256"/>
      <c r="CL102" s="256"/>
      <c r="CM102" s="256"/>
      <c r="CN102" s="256"/>
      <c r="CO102" s="256"/>
      <c r="CP102" s="256"/>
      <c r="CQ102" s="256"/>
      <c r="CR102" s="256"/>
      <c r="CS102" s="256"/>
      <c r="CT102" s="256"/>
      <c r="CU102" s="256"/>
      <c r="CV102" s="256"/>
      <c r="CW102" s="256"/>
      <c r="CX102" s="256"/>
      <c r="CY102" s="256"/>
      <c r="CZ102" s="256"/>
      <c r="DA102" s="256"/>
      <c r="DB102" s="256"/>
      <c r="DC102" s="256"/>
    </row>
    <row r="103" spans="1:107" ht="12.75">
      <c r="A103" s="239"/>
      <c r="B103" s="212"/>
      <c r="C103" s="233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33"/>
      <c r="S103" s="73"/>
      <c r="T103" s="71"/>
      <c r="U103" s="71"/>
      <c r="V103" s="71"/>
      <c r="W103" s="69"/>
      <c r="X103" s="69"/>
      <c r="Y103" s="69"/>
      <c r="Z103" s="68" t="str">
        <f>Z20</f>
        <v>J2</v>
      </c>
      <c r="AA103" s="69">
        <f t="shared" si="57"/>
        <v>125</v>
      </c>
      <c r="AB103" s="70">
        <f t="shared" si="58"/>
        <v>125</v>
      </c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13"/>
      <c r="AW103" s="13"/>
      <c r="AX103" s="13"/>
      <c r="AY103" s="13"/>
      <c r="AZ103" s="13"/>
      <c r="BG103" s="14"/>
      <c r="BM103" s="16"/>
      <c r="CG103" s="256"/>
      <c r="CH103" s="256"/>
      <c r="CI103" s="256"/>
      <c r="CJ103" s="256"/>
      <c r="CK103" s="256"/>
      <c r="CL103" s="256"/>
      <c r="CM103" s="256"/>
      <c r="CN103" s="256"/>
      <c r="CO103" s="256"/>
      <c r="CP103" s="256"/>
      <c r="CQ103" s="256"/>
      <c r="CR103" s="256"/>
      <c r="CS103" s="256"/>
      <c r="CT103" s="256"/>
      <c r="CU103" s="256"/>
      <c r="CV103" s="256"/>
      <c r="CW103" s="256"/>
      <c r="CX103" s="256"/>
      <c r="CY103" s="256"/>
      <c r="CZ103" s="256"/>
      <c r="DA103" s="256"/>
      <c r="DB103" s="256"/>
      <c r="DC103" s="256"/>
    </row>
    <row r="104" spans="1:107" ht="12.75">
      <c r="A104" s="239"/>
      <c r="B104" s="212"/>
      <c r="C104" s="233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33"/>
      <c r="S104" s="73"/>
      <c r="T104" s="71"/>
      <c r="U104" s="71"/>
      <c r="V104" s="71"/>
      <c r="W104" s="69"/>
      <c r="X104" s="69"/>
      <c r="Y104" s="69"/>
      <c r="Z104" s="68" t="str">
        <f aca="true" t="shared" si="59" ref="Z104:Z137">Z21</f>
        <v>J3</v>
      </c>
      <c r="AA104" s="69">
        <f t="shared" si="57"/>
        <v>125</v>
      </c>
      <c r="AB104" s="70">
        <f t="shared" si="58"/>
        <v>125</v>
      </c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13"/>
      <c r="AW104" s="13"/>
      <c r="AX104" s="13"/>
      <c r="AY104" s="13"/>
      <c r="AZ104" s="13"/>
      <c r="BG104" s="14"/>
      <c r="BM104" s="16"/>
      <c r="CG104" s="256"/>
      <c r="CH104" s="256"/>
      <c r="CI104" s="256"/>
      <c r="CJ104" s="256"/>
      <c r="CK104" s="256"/>
      <c r="CL104" s="256"/>
      <c r="CM104" s="256"/>
      <c r="CN104" s="256"/>
      <c r="CO104" s="256"/>
      <c r="CP104" s="256"/>
      <c r="CQ104" s="256"/>
      <c r="CR104" s="256"/>
      <c r="CS104" s="256"/>
      <c r="CT104" s="256"/>
      <c r="CU104" s="256"/>
      <c r="CV104" s="256"/>
      <c r="CW104" s="256"/>
      <c r="CX104" s="256"/>
      <c r="CY104" s="256"/>
      <c r="CZ104" s="256"/>
      <c r="DA104" s="256"/>
      <c r="DB104" s="256"/>
      <c r="DC104" s="256"/>
    </row>
    <row r="105" spans="1:107" ht="12.75">
      <c r="A105" s="239"/>
      <c r="B105" s="212"/>
      <c r="C105" s="233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33"/>
      <c r="S105" s="73"/>
      <c r="T105" s="71"/>
      <c r="U105" s="71"/>
      <c r="V105" s="71"/>
      <c r="W105" s="69"/>
      <c r="X105" s="69"/>
      <c r="Y105" s="69"/>
      <c r="Z105" s="68" t="str">
        <f t="shared" si="59"/>
        <v>F1</v>
      </c>
      <c r="AA105" s="69">
        <f t="shared" si="57"/>
        <v>125</v>
      </c>
      <c r="AB105" s="70">
        <f t="shared" si="58"/>
        <v>125</v>
      </c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13"/>
      <c r="AW105" s="13"/>
      <c r="AX105" s="13"/>
      <c r="AY105" s="13"/>
      <c r="AZ105" s="13"/>
      <c r="BG105" s="14"/>
      <c r="BM105" s="16"/>
      <c r="CG105" s="256"/>
      <c r="CH105" s="256"/>
      <c r="CI105" s="256"/>
      <c r="CJ105" s="256"/>
      <c r="CK105" s="256"/>
      <c r="CL105" s="256"/>
      <c r="CM105" s="256"/>
      <c r="CN105" s="256"/>
      <c r="CO105" s="256"/>
      <c r="CP105" s="256"/>
      <c r="CQ105" s="256"/>
      <c r="CR105" s="256"/>
      <c r="CS105" s="256"/>
      <c r="CT105" s="256"/>
      <c r="CU105" s="256"/>
      <c r="CV105" s="256"/>
      <c r="CW105" s="256"/>
      <c r="CX105" s="256"/>
      <c r="CY105" s="256"/>
      <c r="CZ105" s="256"/>
      <c r="DA105" s="256"/>
      <c r="DB105" s="256"/>
      <c r="DC105" s="256"/>
    </row>
    <row r="106" spans="1:107" ht="12.75">
      <c r="A106" s="239"/>
      <c r="B106" s="212"/>
      <c r="C106" s="233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33"/>
      <c r="S106" s="73"/>
      <c r="T106" s="71"/>
      <c r="U106" s="71"/>
      <c r="V106" s="71"/>
      <c r="W106" s="69"/>
      <c r="X106" s="69"/>
      <c r="Y106" s="69"/>
      <c r="Z106" s="68" t="str">
        <f t="shared" si="59"/>
        <v>F2</v>
      </c>
      <c r="AA106" s="69">
        <f t="shared" si="57"/>
        <v>125</v>
      </c>
      <c r="AB106" s="70">
        <f t="shared" si="58"/>
        <v>125</v>
      </c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13"/>
      <c r="AW106" s="13"/>
      <c r="AX106" s="13"/>
      <c r="AY106" s="13"/>
      <c r="AZ106" s="13"/>
      <c r="BG106" s="14"/>
      <c r="BM106" s="16"/>
      <c r="CG106" s="256"/>
      <c r="CH106" s="256"/>
      <c r="CI106" s="256"/>
      <c r="CJ106" s="256"/>
      <c r="CK106" s="256"/>
      <c r="CL106" s="256"/>
      <c r="CM106" s="256"/>
      <c r="CN106" s="256"/>
      <c r="CO106" s="256"/>
      <c r="CP106" s="256"/>
      <c r="CQ106" s="256"/>
      <c r="CR106" s="256"/>
      <c r="CS106" s="256"/>
      <c r="CT106" s="256"/>
      <c r="CU106" s="256"/>
      <c r="CV106" s="256"/>
      <c r="CW106" s="256"/>
      <c r="CX106" s="256"/>
      <c r="CY106" s="256"/>
      <c r="CZ106" s="256"/>
      <c r="DA106" s="256"/>
      <c r="DB106" s="256"/>
      <c r="DC106" s="256"/>
    </row>
    <row r="107" spans="1:107" ht="12.75">
      <c r="A107" s="239"/>
      <c r="B107" s="212"/>
      <c r="C107" s="233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33"/>
      <c r="S107" s="73"/>
      <c r="T107" s="71"/>
      <c r="U107" s="71"/>
      <c r="V107" s="71"/>
      <c r="W107" s="69"/>
      <c r="X107" s="69"/>
      <c r="Y107" s="69"/>
      <c r="Z107" s="68" t="str">
        <f t="shared" si="59"/>
        <v>F3</v>
      </c>
      <c r="AA107" s="69">
        <f t="shared" si="57"/>
        <v>125</v>
      </c>
      <c r="AB107" s="70">
        <f t="shared" si="58"/>
        <v>124.12733636633988</v>
      </c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13"/>
      <c r="AW107" s="13"/>
      <c r="AX107" s="13"/>
      <c r="AY107" s="13"/>
      <c r="AZ107" s="13"/>
      <c r="BG107" s="14"/>
      <c r="BM107" s="16"/>
      <c r="CG107" s="256"/>
      <c r="CH107" s="256"/>
      <c r="CI107" s="256"/>
      <c r="CJ107" s="256"/>
      <c r="CK107" s="256"/>
      <c r="CL107" s="256"/>
      <c r="CM107" s="256"/>
      <c r="CN107" s="256"/>
      <c r="CO107" s="256"/>
      <c r="CP107" s="256"/>
      <c r="CQ107" s="256"/>
      <c r="CR107" s="256"/>
      <c r="CS107" s="256"/>
      <c r="CT107" s="256"/>
      <c r="CU107" s="256"/>
      <c r="CV107" s="256"/>
      <c r="CW107" s="256"/>
      <c r="CX107" s="256"/>
      <c r="CY107" s="256"/>
      <c r="CZ107" s="256"/>
      <c r="DA107" s="256"/>
      <c r="DB107" s="256"/>
      <c r="DC107" s="256"/>
    </row>
    <row r="108" spans="1:107" ht="12.75">
      <c r="A108" s="239"/>
      <c r="B108" s="212"/>
      <c r="C108" s="233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33"/>
      <c r="S108" s="73"/>
      <c r="T108" s="71"/>
      <c r="U108" s="71"/>
      <c r="V108" s="71"/>
      <c r="W108" s="69"/>
      <c r="X108" s="69"/>
      <c r="Y108" s="69"/>
      <c r="Z108" s="68" t="str">
        <f t="shared" si="59"/>
        <v>M1</v>
      </c>
      <c r="AA108" s="69">
        <f t="shared" si="57"/>
        <v>125</v>
      </c>
      <c r="AB108" s="70">
        <f t="shared" si="58"/>
        <v>125</v>
      </c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13"/>
      <c r="AW108" s="13"/>
      <c r="AX108" s="13"/>
      <c r="AY108" s="13"/>
      <c r="AZ108" s="13"/>
      <c r="BG108" s="14"/>
      <c r="BM108" s="16"/>
      <c r="CG108" s="256"/>
      <c r="CH108" s="256"/>
      <c r="CI108" s="256"/>
      <c r="CJ108" s="256"/>
      <c r="CK108" s="256"/>
      <c r="CL108" s="256"/>
      <c r="CM108" s="256"/>
      <c r="CN108" s="256"/>
      <c r="CO108" s="256"/>
      <c r="CP108" s="256"/>
      <c r="CQ108" s="256"/>
      <c r="CR108" s="256"/>
      <c r="CS108" s="256"/>
      <c r="CT108" s="256"/>
      <c r="CU108" s="256"/>
      <c r="CV108" s="256"/>
      <c r="CW108" s="256"/>
      <c r="CX108" s="256"/>
      <c r="CY108" s="256"/>
      <c r="CZ108" s="256"/>
      <c r="DA108" s="256"/>
      <c r="DB108" s="256"/>
      <c r="DC108" s="256"/>
    </row>
    <row r="109" spans="1:107" ht="12.75">
      <c r="A109" s="239"/>
      <c r="B109" s="212"/>
      <c r="C109" s="233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33"/>
      <c r="S109" s="73"/>
      <c r="T109" s="71"/>
      <c r="U109" s="71"/>
      <c r="V109" s="71"/>
      <c r="W109" s="69"/>
      <c r="X109" s="69"/>
      <c r="Y109" s="69"/>
      <c r="Z109" s="68" t="str">
        <f t="shared" si="59"/>
        <v>M2</v>
      </c>
      <c r="AA109" s="69">
        <f t="shared" si="57"/>
        <v>125</v>
      </c>
      <c r="AB109" s="70">
        <f t="shared" si="58"/>
        <v>125</v>
      </c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13"/>
      <c r="AW109" s="13"/>
      <c r="AX109" s="13"/>
      <c r="AY109" s="13"/>
      <c r="AZ109" s="13"/>
      <c r="BG109" s="14"/>
      <c r="BM109" s="16"/>
      <c r="CG109" s="256"/>
      <c r="CH109" s="256"/>
      <c r="CI109" s="256"/>
      <c r="CJ109" s="256"/>
      <c r="CK109" s="256"/>
      <c r="CL109" s="256"/>
      <c r="CM109" s="256"/>
      <c r="CN109" s="256"/>
      <c r="CO109" s="256"/>
      <c r="CP109" s="256"/>
      <c r="CQ109" s="256"/>
      <c r="CR109" s="256"/>
      <c r="CS109" s="256"/>
      <c r="CT109" s="256"/>
      <c r="CU109" s="256"/>
      <c r="CV109" s="256"/>
      <c r="CW109" s="256"/>
      <c r="CX109" s="256"/>
      <c r="CY109" s="256"/>
      <c r="CZ109" s="256"/>
      <c r="DA109" s="256"/>
      <c r="DB109" s="256"/>
      <c r="DC109" s="256"/>
    </row>
    <row r="110" spans="1:107" ht="12.75">
      <c r="A110" s="239"/>
      <c r="B110" s="212"/>
      <c r="C110" s="233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33"/>
      <c r="S110" s="73"/>
      <c r="T110" s="71"/>
      <c r="U110" s="71"/>
      <c r="V110" s="71"/>
      <c r="W110" s="69"/>
      <c r="X110" s="69"/>
      <c r="Y110" s="69"/>
      <c r="Z110" s="68" t="str">
        <f t="shared" si="59"/>
        <v>M3</v>
      </c>
      <c r="AA110" s="69">
        <f t="shared" si="57"/>
        <v>125</v>
      </c>
      <c r="AB110" s="70">
        <f t="shared" si="58"/>
        <v>120.96858647113683</v>
      </c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13"/>
      <c r="AW110" s="13"/>
      <c r="AX110" s="13"/>
      <c r="AY110" s="13"/>
      <c r="AZ110" s="13"/>
      <c r="BG110" s="14"/>
      <c r="BM110" s="16"/>
      <c r="CG110" s="256"/>
      <c r="CH110" s="256"/>
      <c r="CI110" s="256"/>
      <c r="CJ110" s="256"/>
      <c r="CK110" s="256"/>
      <c r="CL110" s="256"/>
      <c r="CM110" s="256"/>
      <c r="CN110" s="256"/>
      <c r="CO110" s="256"/>
      <c r="CP110" s="256"/>
      <c r="CQ110" s="256"/>
      <c r="CR110" s="256"/>
      <c r="CS110" s="256"/>
      <c r="CT110" s="256"/>
      <c r="CU110" s="256"/>
      <c r="CV110" s="256"/>
      <c r="CW110" s="256"/>
      <c r="CX110" s="256"/>
      <c r="CY110" s="256"/>
      <c r="CZ110" s="256"/>
      <c r="DA110" s="256"/>
      <c r="DB110" s="256"/>
      <c r="DC110" s="256"/>
    </row>
    <row r="111" spans="1:107" ht="12.75">
      <c r="A111" s="239"/>
      <c r="B111" s="212"/>
      <c r="C111" s="233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33"/>
      <c r="S111" s="73"/>
      <c r="T111" s="71"/>
      <c r="U111" s="71"/>
      <c r="V111" s="71"/>
      <c r="W111" s="69"/>
      <c r="X111" s="69"/>
      <c r="Y111" s="69"/>
      <c r="Z111" s="68" t="str">
        <f t="shared" si="59"/>
        <v>A1</v>
      </c>
      <c r="AA111" s="69">
        <f t="shared" si="57"/>
        <v>125</v>
      </c>
      <c r="AB111" s="70">
        <f t="shared" si="58"/>
        <v>125</v>
      </c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13"/>
      <c r="AW111" s="13"/>
      <c r="AX111" s="13"/>
      <c r="AY111" s="13"/>
      <c r="AZ111" s="13"/>
      <c r="BG111" s="14"/>
      <c r="BM111" s="16"/>
      <c r="CG111" s="256"/>
      <c r="CH111" s="256"/>
      <c r="CI111" s="256"/>
      <c r="CJ111" s="256"/>
      <c r="CK111" s="256"/>
      <c r="CL111" s="256"/>
      <c r="CM111" s="256"/>
      <c r="CN111" s="256"/>
      <c r="CO111" s="256"/>
      <c r="CP111" s="256"/>
      <c r="CQ111" s="256"/>
      <c r="CR111" s="256"/>
      <c r="CS111" s="256"/>
      <c r="CT111" s="256"/>
      <c r="CU111" s="256"/>
      <c r="CV111" s="256"/>
      <c r="CW111" s="256"/>
      <c r="CX111" s="256"/>
      <c r="CY111" s="256"/>
      <c r="CZ111" s="256"/>
      <c r="DA111" s="256"/>
      <c r="DB111" s="256"/>
      <c r="DC111" s="256"/>
    </row>
    <row r="112" spans="1:107" ht="12.75">
      <c r="A112" s="239"/>
      <c r="B112" s="212"/>
      <c r="C112" s="233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33"/>
      <c r="S112" s="73"/>
      <c r="T112" s="71"/>
      <c r="U112" s="71"/>
      <c r="V112" s="71"/>
      <c r="W112" s="69"/>
      <c r="X112" s="69"/>
      <c r="Y112" s="69"/>
      <c r="Z112" s="68" t="str">
        <f t="shared" si="59"/>
        <v>A2</v>
      </c>
      <c r="AA112" s="69">
        <f t="shared" si="57"/>
        <v>125</v>
      </c>
      <c r="AB112" s="70">
        <f t="shared" si="58"/>
        <v>121.82814865812666</v>
      </c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13"/>
      <c r="AW112" s="13"/>
      <c r="AX112" s="13"/>
      <c r="AY112" s="13"/>
      <c r="AZ112" s="13"/>
      <c r="BG112" s="14"/>
      <c r="BM112" s="16"/>
      <c r="CG112" s="256"/>
      <c r="CH112" s="256"/>
      <c r="CI112" s="256"/>
      <c r="CJ112" s="256"/>
      <c r="CK112" s="256"/>
      <c r="CL112" s="256"/>
      <c r="CM112" s="256"/>
      <c r="CN112" s="256"/>
      <c r="CO112" s="256"/>
      <c r="CP112" s="256"/>
      <c r="CQ112" s="256"/>
      <c r="CR112" s="256"/>
      <c r="CS112" s="256"/>
      <c r="CT112" s="256"/>
      <c r="CU112" s="256"/>
      <c r="CV112" s="256"/>
      <c r="CW112" s="256"/>
      <c r="CX112" s="256"/>
      <c r="CY112" s="256"/>
      <c r="CZ112" s="256"/>
      <c r="DA112" s="256"/>
      <c r="DB112" s="256"/>
      <c r="DC112" s="256"/>
    </row>
    <row r="113" spans="1:107" ht="12.75">
      <c r="A113" s="239"/>
      <c r="B113" s="212"/>
      <c r="C113" s="233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33"/>
      <c r="S113" s="73"/>
      <c r="T113" s="71"/>
      <c r="U113" s="71"/>
      <c r="V113" s="71"/>
      <c r="W113" s="69"/>
      <c r="X113" s="69"/>
      <c r="Y113" s="69"/>
      <c r="Z113" s="68" t="str">
        <f t="shared" si="59"/>
        <v>A3</v>
      </c>
      <c r="AA113" s="69">
        <f t="shared" si="57"/>
        <v>125</v>
      </c>
      <c r="AB113" s="70">
        <f t="shared" si="58"/>
        <v>108.20325034399859</v>
      </c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13"/>
      <c r="AW113" s="13"/>
      <c r="AX113" s="13"/>
      <c r="AY113" s="13"/>
      <c r="AZ113" s="13"/>
      <c r="BG113" s="14"/>
      <c r="BM113" s="16"/>
      <c r="CG113" s="256"/>
      <c r="CH113" s="256"/>
      <c r="CI113" s="256"/>
      <c r="CJ113" s="256"/>
      <c r="CK113" s="256"/>
      <c r="CL113" s="256"/>
      <c r="CM113" s="256"/>
      <c r="CN113" s="256"/>
      <c r="CO113" s="256"/>
      <c r="CP113" s="256"/>
      <c r="CQ113" s="256"/>
      <c r="CR113" s="256"/>
      <c r="CS113" s="256"/>
      <c r="CT113" s="256"/>
      <c r="CU113" s="256"/>
      <c r="CV113" s="256"/>
      <c r="CW113" s="256"/>
      <c r="CX113" s="256"/>
      <c r="CY113" s="256"/>
      <c r="CZ113" s="256"/>
      <c r="DA113" s="256"/>
      <c r="DB113" s="256"/>
      <c r="DC113" s="256"/>
    </row>
    <row r="114" spans="1:107" ht="12.75">
      <c r="A114" s="239"/>
      <c r="B114" s="212"/>
      <c r="C114" s="233"/>
      <c r="D114" s="69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33"/>
      <c r="S114" s="73"/>
      <c r="T114" s="71"/>
      <c r="U114" s="71"/>
      <c r="V114" s="71"/>
      <c r="W114" s="69"/>
      <c r="X114" s="69"/>
      <c r="Y114" s="69"/>
      <c r="Z114" s="68" t="str">
        <f t="shared" si="59"/>
        <v>M1</v>
      </c>
      <c r="AA114" s="69">
        <f t="shared" si="57"/>
        <v>125</v>
      </c>
      <c r="AB114" s="70">
        <f t="shared" si="58"/>
        <v>100.70651369076708</v>
      </c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13"/>
      <c r="AW114" s="13"/>
      <c r="AX114" s="13"/>
      <c r="AY114" s="13"/>
      <c r="AZ114" s="13"/>
      <c r="BG114" s="14"/>
      <c r="BM114" s="16"/>
      <c r="CG114" s="256"/>
      <c r="CH114" s="256"/>
      <c r="CI114" s="256"/>
      <c r="CJ114" s="256"/>
      <c r="CK114" s="256"/>
      <c r="CL114" s="256"/>
      <c r="CM114" s="256"/>
      <c r="CN114" s="256"/>
      <c r="CO114" s="256"/>
      <c r="CP114" s="256"/>
      <c r="CQ114" s="256"/>
      <c r="CR114" s="256"/>
      <c r="CS114" s="256"/>
      <c r="CT114" s="256"/>
      <c r="CU114" s="256"/>
      <c r="CV114" s="256"/>
      <c r="CW114" s="256"/>
      <c r="CX114" s="256"/>
      <c r="CY114" s="256"/>
      <c r="CZ114" s="256"/>
      <c r="DA114" s="256"/>
      <c r="DB114" s="256"/>
      <c r="DC114" s="256"/>
    </row>
    <row r="115" spans="1:107" ht="12.75">
      <c r="A115" s="239"/>
      <c r="B115" s="212"/>
      <c r="C115" s="233"/>
      <c r="D115" s="235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33"/>
      <c r="S115" s="73"/>
      <c r="T115" s="71"/>
      <c r="U115" s="71"/>
      <c r="V115" s="71"/>
      <c r="W115" s="235"/>
      <c r="X115" s="235"/>
      <c r="Y115" s="235"/>
      <c r="Z115" s="68" t="str">
        <f t="shared" si="59"/>
        <v>M2</v>
      </c>
      <c r="AA115" s="69">
        <f t="shared" si="57"/>
        <v>125</v>
      </c>
      <c r="AB115" s="70">
        <f t="shared" si="58"/>
        <v>113.5141672069661</v>
      </c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13"/>
      <c r="AW115" s="13"/>
      <c r="AX115" s="13"/>
      <c r="AY115" s="13"/>
      <c r="AZ115" s="13"/>
      <c r="BG115" s="14"/>
      <c r="CG115" s="256"/>
      <c r="CH115" s="256"/>
      <c r="CI115" s="256"/>
      <c r="CJ115" s="256"/>
      <c r="CK115" s="256"/>
      <c r="CL115" s="256"/>
      <c r="CM115" s="256"/>
      <c r="CN115" s="256"/>
      <c r="CO115" s="256"/>
      <c r="CP115" s="256"/>
      <c r="CQ115" s="256"/>
      <c r="CR115" s="256"/>
      <c r="CS115" s="256"/>
      <c r="CT115" s="256"/>
      <c r="CU115" s="256"/>
      <c r="CV115" s="256"/>
      <c r="CW115" s="256"/>
      <c r="CX115" s="256"/>
      <c r="CY115" s="256"/>
      <c r="CZ115" s="256"/>
      <c r="DA115" s="256"/>
      <c r="DB115" s="256"/>
      <c r="DC115" s="256"/>
    </row>
    <row r="116" spans="1:107" ht="12.75">
      <c r="A116" s="239"/>
      <c r="B116" s="287"/>
      <c r="C116" s="288"/>
      <c r="D116" s="289"/>
      <c r="E116" s="290"/>
      <c r="F116" s="29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33"/>
      <c r="S116" s="73"/>
      <c r="T116" s="71"/>
      <c r="U116" s="71"/>
      <c r="V116" s="71"/>
      <c r="W116" s="235"/>
      <c r="X116" s="235"/>
      <c r="Y116" s="235"/>
      <c r="Z116" s="68" t="str">
        <f t="shared" si="59"/>
        <v>M3</v>
      </c>
      <c r="AA116" s="69">
        <f t="shared" si="57"/>
        <v>125</v>
      </c>
      <c r="AB116" s="70">
        <f t="shared" si="58"/>
        <v>103.71411236580175</v>
      </c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BG116" s="14"/>
      <c r="CG116" s="256"/>
      <c r="CH116" s="256"/>
      <c r="CI116" s="256"/>
      <c r="CJ116" s="256"/>
      <c r="CK116" s="256"/>
      <c r="CL116" s="256"/>
      <c r="CM116" s="256"/>
      <c r="CN116" s="256"/>
      <c r="CO116" s="256"/>
      <c r="CP116" s="256"/>
      <c r="CQ116" s="256"/>
      <c r="CR116" s="256"/>
      <c r="CS116" s="256"/>
      <c r="CT116" s="256"/>
      <c r="CU116" s="256"/>
      <c r="CV116" s="256"/>
      <c r="CW116" s="256"/>
      <c r="CX116" s="256"/>
      <c r="CY116" s="256"/>
      <c r="CZ116" s="256"/>
      <c r="DA116" s="256"/>
      <c r="DB116" s="256"/>
      <c r="DC116" s="256"/>
    </row>
    <row r="117" spans="1:107" ht="12.75">
      <c r="A117" s="239"/>
      <c r="B117" s="287"/>
      <c r="C117" s="288"/>
      <c r="D117" s="289"/>
      <c r="E117" s="290"/>
      <c r="F117" s="29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33"/>
      <c r="S117" s="73"/>
      <c r="T117" s="71"/>
      <c r="U117" s="71"/>
      <c r="V117" s="71"/>
      <c r="W117" s="235"/>
      <c r="X117" s="235"/>
      <c r="Y117" s="235"/>
      <c r="Z117" s="68" t="str">
        <f t="shared" si="59"/>
        <v>J1</v>
      </c>
      <c r="AA117" s="69">
        <f t="shared" si="57"/>
        <v>125</v>
      </c>
      <c r="AB117" s="70">
        <f t="shared" si="58"/>
        <v>103.28843440171208</v>
      </c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BG117" s="14"/>
      <c r="CG117" s="256"/>
      <c r="CH117" s="256"/>
      <c r="CI117" s="256"/>
      <c r="CJ117" s="256"/>
      <c r="CK117" s="256"/>
      <c r="CL117" s="256"/>
      <c r="CM117" s="256"/>
      <c r="CN117" s="256"/>
      <c r="CO117" s="256"/>
      <c r="CP117" s="256"/>
      <c r="CQ117" s="256"/>
      <c r="CR117" s="256"/>
      <c r="CS117" s="256"/>
      <c r="CT117" s="256"/>
      <c r="CU117" s="256"/>
      <c r="CV117" s="256"/>
      <c r="CW117" s="256"/>
      <c r="CX117" s="256"/>
      <c r="CY117" s="256"/>
      <c r="CZ117" s="256"/>
      <c r="DA117" s="256"/>
      <c r="DB117" s="256"/>
      <c r="DC117" s="256"/>
    </row>
    <row r="118" spans="1:107" ht="12.75">
      <c r="A118" s="239"/>
      <c r="B118" s="287"/>
      <c r="C118" s="288"/>
      <c r="D118" s="289"/>
      <c r="E118" s="290"/>
      <c r="F118" s="29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33"/>
      <c r="S118" s="73"/>
      <c r="T118" s="71"/>
      <c r="U118" s="71"/>
      <c r="V118" s="71"/>
      <c r="W118" s="235"/>
      <c r="X118" s="235"/>
      <c r="Y118" s="235"/>
      <c r="Z118" s="68" t="str">
        <f t="shared" si="59"/>
        <v>J2</v>
      </c>
      <c r="AA118" s="69">
        <f t="shared" si="57"/>
        <v>125</v>
      </c>
      <c r="AB118" s="70">
        <f t="shared" si="58"/>
        <v>109.81849033479574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BG118" s="14"/>
      <c r="CG118" s="256"/>
      <c r="CH118" s="256"/>
      <c r="CI118" s="256"/>
      <c r="CJ118" s="256"/>
      <c r="CK118" s="256"/>
      <c r="CL118" s="256"/>
      <c r="CM118" s="256"/>
      <c r="CN118" s="256"/>
      <c r="CO118" s="256"/>
      <c r="CP118" s="256"/>
      <c r="CQ118" s="256"/>
      <c r="CR118" s="256"/>
      <c r="CS118" s="256"/>
      <c r="CT118" s="256"/>
      <c r="CU118" s="256"/>
      <c r="CV118" s="256"/>
      <c r="CW118" s="256"/>
      <c r="CX118" s="256"/>
      <c r="CY118" s="256"/>
      <c r="CZ118" s="256"/>
      <c r="DA118" s="256"/>
      <c r="DB118" s="256"/>
      <c r="DC118" s="256"/>
    </row>
    <row r="119" spans="1:107" ht="12.75">
      <c r="A119" s="239"/>
      <c r="B119" s="287"/>
      <c r="C119" s="288"/>
      <c r="D119" s="289"/>
      <c r="E119" s="290"/>
      <c r="F119" s="29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33"/>
      <c r="S119" s="73"/>
      <c r="T119" s="71"/>
      <c r="U119" s="71"/>
      <c r="V119" s="71"/>
      <c r="W119" s="235"/>
      <c r="X119" s="235"/>
      <c r="Y119" s="235"/>
      <c r="Z119" s="68" t="str">
        <f t="shared" si="59"/>
        <v>J3</v>
      </c>
      <c r="AA119" s="69">
        <f t="shared" si="57"/>
        <v>125</v>
      </c>
      <c r="AB119" s="70">
        <f t="shared" si="58"/>
        <v>103.47477833378471</v>
      </c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BG119" s="14"/>
      <c r="CG119" s="256"/>
      <c r="CH119" s="256"/>
      <c r="CI119" s="256"/>
      <c r="CJ119" s="256"/>
      <c r="CK119" s="256"/>
      <c r="CL119" s="256"/>
      <c r="CM119" s="256"/>
      <c r="CN119" s="256"/>
      <c r="CO119" s="256"/>
      <c r="CP119" s="256"/>
      <c r="CQ119" s="256"/>
      <c r="CR119" s="256"/>
      <c r="CS119" s="256"/>
      <c r="CT119" s="256"/>
      <c r="CU119" s="256"/>
      <c r="CV119" s="256"/>
      <c r="CW119" s="256"/>
      <c r="CX119" s="256"/>
      <c r="CY119" s="256"/>
      <c r="CZ119" s="256"/>
      <c r="DA119" s="256"/>
      <c r="DB119" s="256"/>
      <c r="DC119" s="256"/>
    </row>
    <row r="120" spans="1:107" ht="12.75">
      <c r="A120" s="239"/>
      <c r="B120" s="287"/>
      <c r="C120" s="288"/>
      <c r="D120" s="289"/>
      <c r="E120" s="290"/>
      <c r="F120" s="29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33"/>
      <c r="S120" s="73"/>
      <c r="T120" s="71"/>
      <c r="U120" s="71"/>
      <c r="V120" s="71"/>
      <c r="W120" s="235"/>
      <c r="X120" s="235"/>
      <c r="Y120" s="235"/>
      <c r="Z120" s="68" t="str">
        <f t="shared" si="59"/>
        <v>J1</v>
      </c>
      <c r="AA120" s="69">
        <f t="shared" si="57"/>
        <v>125</v>
      </c>
      <c r="AB120" s="70">
        <f t="shared" si="58"/>
        <v>108.50853332374248</v>
      </c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BG120" s="14"/>
      <c r="CG120" s="256"/>
      <c r="CH120" s="256"/>
      <c r="CI120" s="256"/>
      <c r="CJ120" s="256"/>
      <c r="CK120" s="256"/>
      <c r="CL120" s="256"/>
      <c r="CM120" s="256"/>
      <c r="CN120" s="256"/>
      <c r="CO120" s="256"/>
      <c r="CP120" s="256"/>
      <c r="CQ120" s="256"/>
      <c r="CR120" s="256"/>
      <c r="CS120" s="256"/>
      <c r="CT120" s="256"/>
      <c r="CU120" s="256"/>
      <c r="CV120" s="256"/>
      <c r="CW120" s="256"/>
      <c r="CX120" s="256"/>
      <c r="CY120" s="256"/>
      <c r="CZ120" s="256"/>
      <c r="DA120" s="256"/>
      <c r="DB120" s="256"/>
      <c r="DC120" s="256"/>
    </row>
    <row r="121" spans="1:107" ht="12.75">
      <c r="A121" s="239"/>
      <c r="B121" s="287"/>
      <c r="C121" s="288"/>
      <c r="D121" s="289"/>
      <c r="E121" s="290"/>
      <c r="F121" s="29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33"/>
      <c r="S121" s="73"/>
      <c r="T121" s="71"/>
      <c r="U121" s="71"/>
      <c r="V121" s="71"/>
      <c r="W121" s="235"/>
      <c r="X121" s="235"/>
      <c r="Y121" s="235"/>
      <c r="Z121" s="68" t="str">
        <f t="shared" si="59"/>
        <v>J2</v>
      </c>
      <c r="AA121" s="69">
        <f t="shared" si="57"/>
        <v>125</v>
      </c>
      <c r="AB121" s="70">
        <f t="shared" si="58"/>
        <v>103.53902560353139</v>
      </c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BG121" s="14"/>
      <c r="CG121" s="256"/>
      <c r="CH121" s="256"/>
      <c r="CI121" s="256"/>
      <c r="CJ121" s="256"/>
      <c r="CK121" s="256"/>
      <c r="CL121" s="256"/>
      <c r="CM121" s="256"/>
      <c r="CN121" s="256"/>
      <c r="CO121" s="256"/>
      <c r="CP121" s="256"/>
      <c r="CQ121" s="256"/>
      <c r="CR121" s="256"/>
      <c r="CS121" s="256"/>
      <c r="CT121" s="256"/>
      <c r="CU121" s="256"/>
      <c r="CV121" s="256"/>
      <c r="CW121" s="256"/>
      <c r="CX121" s="256"/>
      <c r="CY121" s="256"/>
      <c r="CZ121" s="256"/>
      <c r="DA121" s="256"/>
      <c r="DB121" s="256"/>
      <c r="DC121" s="256"/>
    </row>
    <row r="122" spans="1:107" ht="12.75">
      <c r="A122" s="239"/>
      <c r="B122" s="287"/>
      <c r="C122" s="288"/>
      <c r="D122" s="289"/>
      <c r="E122" s="290"/>
      <c r="F122" s="29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33"/>
      <c r="S122" s="73"/>
      <c r="T122" s="71"/>
      <c r="U122" s="71"/>
      <c r="V122" s="71"/>
      <c r="W122" s="235"/>
      <c r="X122" s="235"/>
      <c r="Y122" s="235"/>
      <c r="Z122" s="68" t="str">
        <f t="shared" si="59"/>
        <v>J3</v>
      </c>
      <c r="AA122" s="69">
        <f t="shared" si="57"/>
        <v>125</v>
      </c>
      <c r="AB122" s="70">
        <f t="shared" si="58"/>
        <v>90.06713637439887</v>
      </c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BG122" s="14"/>
      <c r="CG122" s="256"/>
      <c r="CH122" s="256"/>
      <c r="CI122" s="256"/>
      <c r="CJ122" s="256"/>
      <c r="CK122" s="256"/>
      <c r="CL122" s="256"/>
      <c r="CM122" s="256"/>
      <c r="CN122" s="256"/>
      <c r="CO122" s="256"/>
      <c r="CP122" s="256"/>
      <c r="CQ122" s="256"/>
      <c r="CR122" s="256"/>
      <c r="CS122" s="256"/>
      <c r="CT122" s="256"/>
      <c r="CU122" s="256"/>
      <c r="CV122" s="256"/>
      <c r="CW122" s="256"/>
      <c r="CX122" s="256"/>
      <c r="CY122" s="256"/>
      <c r="CZ122" s="256"/>
      <c r="DA122" s="256"/>
      <c r="DB122" s="256"/>
      <c r="DC122" s="256"/>
    </row>
    <row r="123" spans="1:107" ht="12.75">
      <c r="A123" s="239"/>
      <c r="B123" s="287"/>
      <c r="C123" s="288"/>
      <c r="D123" s="289"/>
      <c r="E123" s="290"/>
      <c r="F123" s="29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33"/>
      <c r="S123" s="73"/>
      <c r="T123" s="71"/>
      <c r="U123" s="71"/>
      <c r="V123" s="71"/>
      <c r="W123" s="235"/>
      <c r="X123" s="235"/>
      <c r="Y123" s="235"/>
      <c r="Z123" s="68" t="str">
        <f t="shared" si="59"/>
        <v>A1</v>
      </c>
      <c r="AA123" s="69">
        <f t="shared" si="57"/>
        <v>125</v>
      </c>
      <c r="AB123" s="70">
        <f t="shared" si="58"/>
        <v>78.92626326576463</v>
      </c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BG123" s="14"/>
      <c r="CG123" s="256"/>
      <c r="CH123" s="256"/>
      <c r="CI123" s="256"/>
      <c r="CJ123" s="256"/>
      <c r="CK123" s="256"/>
      <c r="CL123" s="256"/>
      <c r="CM123" s="256"/>
      <c r="CN123" s="256"/>
      <c r="CO123" s="256"/>
      <c r="CP123" s="256"/>
      <c r="CQ123" s="256"/>
      <c r="CR123" s="256"/>
      <c r="CS123" s="256"/>
      <c r="CT123" s="256"/>
      <c r="CU123" s="256"/>
      <c r="CV123" s="256"/>
      <c r="CW123" s="256"/>
      <c r="CX123" s="256"/>
      <c r="CY123" s="256"/>
      <c r="CZ123" s="256"/>
      <c r="DA123" s="256"/>
      <c r="DB123" s="256"/>
      <c r="DC123" s="256"/>
    </row>
    <row r="124" spans="1:107" ht="12.75">
      <c r="A124" s="239"/>
      <c r="B124" s="287"/>
      <c r="C124" s="288"/>
      <c r="D124" s="289"/>
      <c r="E124" s="290"/>
      <c r="F124" s="29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33"/>
      <c r="S124" s="73"/>
      <c r="T124" s="71"/>
      <c r="U124" s="71"/>
      <c r="V124" s="71"/>
      <c r="W124" s="235"/>
      <c r="X124" s="235"/>
      <c r="Y124" s="235"/>
      <c r="Z124" s="68" t="str">
        <f t="shared" si="59"/>
        <v>A2</v>
      </c>
      <c r="AA124" s="69">
        <f t="shared" si="57"/>
        <v>125</v>
      </c>
      <c r="AB124" s="70">
        <f t="shared" si="58"/>
        <v>74.39117183393454</v>
      </c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BG124" s="14"/>
      <c r="CG124" s="256"/>
      <c r="CH124" s="256"/>
      <c r="CI124" s="256"/>
      <c r="CJ124" s="256"/>
      <c r="CK124" s="256"/>
      <c r="CL124" s="256"/>
      <c r="CM124" s="256"/>
      <c r="CN124" s="256"/>
      <c r="CO124" s="256"/>
      <c r="CP124" s="256"/>
      <c r="CQ124" s="256"/>
      <c r="CR124" s="256"/>
      <c r="CS124" s="256"/>
      <c r="CT124" s="256"/>
      <c r="CU124" s="256"/>
      <c r="CV124" s="256"/>
      <c r="CW124" s="256"/>
      <c r="CX124" s="256"/>
      <c r="CY124" s="256"/>
      <c r="CZ124" s="256"/>
      <c r="DA124" s="256"/>
      <c r="DB124" s="256"/>
      <c r="DC124" s="256"/>
    </row>
    <row r="125" spans="1:107" ht="12.75">
      <c r="A125" s="239"/>
      <c r="B125" s="287"/>
      <c r="C125" s="288"/>
      <c r="D125" s="289"/>
      <c r="E125" s="290"/>
      <c r="F125" s="29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33"/>
      <c r="S125" s="73"/>
      <c r="T125" s="71"/>
      <c r="U125" s="71"/>
      <c r="V125" s="71"/>
      <c r="W125" s="235"/>
      <c r="X125" s="235"/>
      <c r="Y125" s="235"/>
      <c r="Z125" s="68" t="str">
        <f t="shared" si="59"/>
        <v>A3</v>
      </c>
      <c r="AA125" s="69">
        <f t="shared" si="57"/>
        <v>125</v>
      </c>
      <c r="AB125" s="70">
        <f t="shared" si="58"/>
        <v>72.33198116870402</v>
      </c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BG125" s="14"/>
      <c r="CG125" s="256"/>
      <c r="CH125" s="256"/>
      <c r="CI125" s="256"/>
      <c r="CJ125" s="256"/>
      <c r="CK125" s="256"/>
      <c r="CL125" s="256"/>
      <c r="CM125" s="256"/>
      <c r="CN125" s="256"/>
      <c r="CO125" s="256"/>
      <c r="CP125" s="256"/>
      <c r="CQ125" s="256"/>
      <c r="CR125" s="256"/>
      <c r="CS125" s="256"/>
      <c r="CT125" s="256"/>
      <c r="CU125" s="256"/>
      <c r="CV125" s="256"/>
      <c r="CW125" s="256"/>
      <c r="CX125" s="256"/>
      <c r="CY125" s="256"/>
      <c r="CZ125" s="256"/>
      <c r="DA125" s="256"/>
      <c r="DB125" s="256"/>
      <c r="DC125" s="256"/>
    </row>
    <row r="126" spans="1:107" ht="12.75">
      <c r="A126" s="239"/>
      <c r="B126" s="287"/>
      <c r="C126" s="288"/>
      <c r="D126" s="289"/>
      <c r="E126" s="290"/>
      <c r="F126" s="29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33"/>
      <c r="S126" s="73"/>
      <c r="T126" s="71"/>
      <c r="U126" s="71"/>
      <c r="V126" s="71"/>
      <c r="W126" s="235"/>
      <c r="X126" s="235"/>
      <c r="Y126" s="235"/>
      <c r="Z126" s="68" t="str">
        <f t="shared" si="59"/>
        <v>S1</v>
      </c>
      <c r="AA126" s="69">
        <f t="shared" si="57"/>
        <v>125</v>
      </c>
      <c r="AB126" s="70">
        <f t="shared" si="58"/>
        <v>68.18900260403156</v>
      </c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BG126" s="14"/>
      <c r="CG126" s="256"/>
      <c r="CH126" s="256"/>
      <c r="CI126" s="256"/>
      <c r="CJ126" s="256"/>
      <c r="CK126" s="256"/>
      <c r="CL126" s="256"/>
      <c r="CM126" s="256"/>
      <c r="CN126" s="256"/>
      <c r="CO126" s="256"/>
      <c r="CP126" s="256"/>
      <c r="CQ126" s="256"/>
      <c r="CR126" s="256"/>
      <c r="CS126" s="256"/>
      <c r="CT126" s="256"/>
      <c r="CU126" s="256"/>
      <c r="CV126" s="256"/>
      <c r="CW126" s="256"/>
      <c r="CX126" s="256"/>
      <c r="CY126" s="256"/>
      <c r="CZ126" s="256"/>
      <c r="DA126" s="256"/>
      <c r="DB126" s="256"/>
      <c r="DC126" s="256"/>
    </row>
    <row r="127" spans="1:107" ht="12.75">
      <c r="A127" s="239"/>
      <c r="B127" s="287"/>
      <c r="C127" s="288"/>
      <c r="D127" s="289"/>
      <c r="E127" s="290"/>
      <c r="F127" s="29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33"/>
      <c r="S127" s="73"/>
      <c r="T127" s="71"/>
      <c r="U127" s="71"/>
      <c r="V127" s="71"/>
      <c r="W127" s="235"/>
      <c r="X127" s="235"/>
      <c r="Y127" s="235"/>
      <c r="Z127" s="68" t="str">
        <f t="shared" si="59"/>
        <v>S2</v>
      </c>
      <c r="AA127" s="69">
        <f t="shared" si="57"/>
        <v>125</v>
      </c>
      <c r="AB127" s="70">
        <f t="shared" si="58"/>
        <v>69.57128994299205</v>
      </c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BG127" s="14"/>
      <c r="CG127" s="256"/>
      <c r="CH127" s="256"/>
      <c r="CI127" s="256"/>
      <c r="CJ127" s="256"/>
      <c r="CK127" s="256"/>
      <c r="CL127" s="256"/>
      <c r="CM127" s="256"/>
      <c r="CN127" s="256"/>
      <c r="CO127" s="256"/>
      <c r="CP127" s="256"/>
      <c r="CQ127" s="256"/>
      <c r="CR127" s="256"/>
      <c r="CS127" s="256"/>
      <c r="CT127" s="256"/>
      <c r="CU127" s="256"/>
      <c r="CV127" s="256"/>
      <c r="CW127" s="256"/>
      <c r="CX127" s="256"/>
      <c r="CY127" s="256"/>
      <c r="CZ127" s="256"/>
      <c r="DA127" s="256"/>
      <c r="DB127" s="256"/>
      <c r="DC127" s="256"/>
    </row>
    <row r="128" spans="1:107" ht="12.75">
      <c r="A128" s="239"/>
      <c r="B128" s="287"/>
      <c r="C128" s="288"/>
      <c r="D128" s="289"/>
      <c r="E128" s="290"/>
      <c r="F128" s="29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33"/>
      <c r="S128" s="73"/>
      <c r="T128" s="71"/>
      <c r="U128" s="71"/>
      <c r="V128" s="71"/>
      <c r="W128" s="235"/>
      <c r="X128" s="235"/>
      <c r="Y128" s="235"/>
      <c r="Z128" s="68" t="str">
        <f t="shared" si="59"/>
        <v>S3</v>
      </c>
      <c r="AA128" s="69">
        <f t="shared" si="57"/>
        <v>125</v>
      </c>
      <c r="AB128" s="70">
        <f t="shared" si="58"/>
        <v>67.11705452367703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BG128" s="14"/>
      <c r="CG128" s="256"/>
      <c r="CH128" s="256"/>
      <c r="CI128" s="256"/>
      <c r="CJ128" s="256"/>
      <c r="CK128" s="256"/>
      <c r="CL128" s="256"/>
      <c r="CM128" s="256"/>
      <c r="CN128" s="256"/>
      <c r="CO128" s="256"/>
      <c r="CP128" s="256"/>
      <c r="CQ128" s="256"/>
      <c r="CR128" s="256"/>
      <c r="CS128" s="256"/>
      <c r="CT128" s="256"/>
      <c r="CU128" s="256"/>
      <c r="CV128" s="256"/>
      <c r="CW128" s="256"/>
      <c r="CX128" s="256"/>
      <c r="CY128" s="256"/>
      <c r="CZ128" s="256"/>
      <c r="DA128" s="256"/>
      <c r="DB128" s="256"/>
      <c r="DC128" s="256"/>
    </row>
    <row r="129" spans="1:107" ht="12.75">
      <c r="A129" s="239"/>
      <c r="B129" s="287"/>
      <c r="C129" s="288"/>
      <c r="D129" s="289"/>
      <c r="E129" s="290"/>
      <c r="F129" s="29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233"/>
      <c r="S129" s="73"/>
      <c r="T129" s="71"/>
      <c r="U129" s="71"/>
      <c r="V129" s="71"/>
      <c r="W129" s="235"/>
      <c r="X129" s="235"/>
      <c r="Y129" s="235"/>
      <c r="Z129" s="68" t="str">
        <f t="shared" si="59"/>
        <v>O1</v>
      </c>
      <c r="AA129" s="69">
        <f t="shared" si="57"/>
        <v>125</v>
      </c>
      <c r="AB129" s="70">
        <f t="shared" si="58"/>
        <v>68.91234291196363</v>
      </c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BG129" s="14"/>
      <c r="CG129" s="256"/>
      <c r="CH129" s="256"/>
      <c r="CI129" s="256"/>
      <c r="CJ129" s="256"/>
      <c r="CK129" s="256"/>
      <c r="CL129" s="256"/>
      <c r="CM129" s="256"/>
      <c r="CN129" s="256"/>
      <c r="CO129" s="256"/>
      <c r="CP129" s="256"/>
      <c r="CQ129" s="256"/>
      <c r="CR129" s="256"/>
      <c r="CS129" s="256"/>
      <c r="CT129" s="256"/>
      <c r="CU129" s="256"/>
      <c r="CV129" s="256"/>
      <c r="CW129" s="256"/>
      <c r="CX129" s="256"/>
      <c r="CY129" s="256"/>
      <c r="CZ129" s="256"/>
      <c r="DA129" s="256"/>
      <c r="DB129" s="256"/>
      <c r="DC129" s="256"/>
    </row>
    <row r="130" spans="1:107" ht="12.75">
      <c r="A130" s="239"/>
      <c r="B130" s="287"/>
      <c r="C130" s="288"/>
      <c r="D130" s="289"/>
      <c r="E130" s="290"/>
      <c r="F130" s="29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233"/>
      <c r="S130" s="73"/>
      <c r="T130" s="71"/>
      <c r="U130" s="71"/>
      <c r="V130" s="71"/>
      <c r="W130" s="235"/>
      <c r="X130" s="235"/>
      <c r="Y130" s="235"/>
      <c r="Z130" s="68" t="str">
        <f t="shared" si="59"/>
        <v>O2</v>
      </c>
      <c r="AA130" s="69">
        <f t="shared" si="57"/>
        <v>125</v>
      </c>
      <c r="AB130" s="70">
        <f t="shared" si="58"/>
        <v>74.0963445610374</v>
      </c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BG130" s="14"/>
      <c r="CG130" s="256"/>
      <c r="CH130" s="256"/>
      <c r="CI130" s="256"/>
      <c r="CJ130" s="256"/>
      <c r="CK130" s="256"/>
      <c r="CL130" s="256"/>
      <c r="CM130" s="256"/>
      <c r="CN130" s="256"/>
      <c r="CO130" s="256"/>
      <c r="CP130" s="256"/>
      <c r="CQ130" s="256"/>
      <c r="CR130" s="256"/>
      <c r="CS130" s="256"/>
      <c r="CT130" s="256"/>
      <c r="CU130" s="256"/>
      <c r="CV130" s="256"/>
      <c r="CW130" s="256"/>
      <c r="CX130" s="256"/>
      <c r="CY130" s="256"/>
      <c r="CZ130" s="256"/>
      <c r="DA130" s="256"/>
      <c r="DB130" s="256"/>
      <c r="DC130" s="256"/>
    </row>
    <row r="131" spans="1:107" ht="12.75">
      <c r="A131" s="239"/>
      <c r="B131" s="287"/>
      <c r="C131" s="288"/>
      <c r="D131" s="289"/>
      <c r="E131" s="290"/>
      <c r="F131" s="29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233"/>
      <c r="S131" s="73"/>
      <c r="T131" s="71"/>
      <c r="U131" s="71"/>
      <c r="V131" s="71"/>
      <c r="W131" s="235"/>
      <c r="X131" s="235"/>
      <c r="Y131" s="235"/>
      <c r="Z131" s="68" t="str">
        <f t="shared" si="59"/>
        <v>O3</v>
      </c>
      <c r="AA131" s="69">
        <f t="shared" si="57"/>
        <v>125</v>
      </c>
      <c r="AB131" s="70">
        <f t="shared" si="58"/>
        <v>80.72237224049428</v>
      </c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BG131" s="14"/>
      <c r="CG131" s="256"/>
      <c r="CH131" s="256"/>
      <c r="CI131" s="256"/>
      <c r="CJ131" s="256"/>
      <c r="CK131" s="256"/>
      <c r="CL131" s="256"/>
      <c r="CM131" s="256"/>
      <c r="CN131" s="256"/>
      <c r="CO131" s="256"/>
      <c r="CP131" s="256"/>
      <c r="CQ131" s="256"/>
      <c r="CR131" s="256"/>
      <c r="CS131" s="256"/>
      <c r="CT131" s="256"/>
      <c r="CU131" s="256"/>
      <c r="CV131" s="256"/>
      <c r="CW131" s="256"/>
      <c r="CX131" s="256"/>
      <c r="CY131" s="256"/>
      <c r="CZ131" s="256"/>
      <c r="DA131" s="256"/>
      <c r="DB131" s="256"/>
      <c r="DC131" s="256"/>
    </row>
    <row r="132" spans="1:107" ht="12.75">
      <c r="A132" s="239"/>
      <c r="B132" s="287"/>
      <c r="C132" s="288"/>
      <c r="D132" s="289"/>
      <c r="E132" s="290"/>
      <c r="F132" s="29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233"/>
      <c r="S132" s="73"/>
      <c r="T132" s="71"/>
      <c r="U132" s="71"/>
      <c r="V132" s="71"/>
      <c r="W132" s="235"/>
      <c r="X132" s="235"/>
      <c r="Y132" s="235"/>
      <c r="Z132" s="68" t="str">
        <f t="shared" si="59"/>
        <v>N1</v>
      </c>
      <c r="AA132" s="69">
        <f t="shared" si="57"/>
        <v>125</v>
      </c>
      <c r="AB132" s="70">
        <f t="shared" si="58"/>
        <v>77.7259974705882</v>
      </c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BG132" s="14"/>
      <c r="CG132" s="256"/>
      <c r="CH132" s="256"/>
      <c r="CI132" s="256"/>
      <c r="CJ132" s="256"/>
      <c r="CK132" s="256"/>
      <c r="CL132" s="256"/>
      <c r="CM132" s="256"/>
      <c r="CN132" s="256"/>
      <c r="CO132" s="256"/>
      <c r="CP132" s="256"/>
      <c r="CQ132" s="256"/>
      <c r="CR132" s="256"/>
      <c r="CS132" s="256"/>
      <c r="CT132" s="256"/>
      <c r="CU132" s="256"/>
      <c r="CV132" s="256"/>
      <c r="CW132" s="256"/>
      <c r="CX132" s="256"/>
      <c r="CY132" s="256"/>
      <c r="CZ132" s="256"/>
      <c r="DA132" s="256"/>
      <c r="DB132" s="256"/>
      <c r="DC132" s="256"/>
    </row>
    <row r="133" spans="1:107" ht="12.75">
      <c r="A133" s="239"/>
      <c r="B133" s="287"/>
      <c r="C133" s="288"/>
      <c r="D133" s="289"/>
      <c r="E133" s="290"/>
      <c r="F133" s="29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233"/>
      <c r="S133" s="73"/>
      <c r="T133" s="71"/>
      <c r="U133" s="71"/>
      <c r="V133" s="71"/>
      <c r="W133" s="235"/>
      <c r="X133" s="235"/>
      <c r="Y133" s="235"/>
      <c r="Z133" s="68" t="str">
        <f t="shared" si="59"/>
        <v>N2</v>
      </c>
      <c r="AA133" s="69">
        <f t="shared" si="57"/>
        <v>125</v>
      </c>
      <c r="AB133" s="70">
        <f t="shared" si="58"/>
        <v>87.13765807292029</v>
      </c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BG133" s="14"/>
      <c r="CG133" s="256"/>
      <c r="CH133" s="256"/>
      <c r="CI133" s="256"/>
      <c r="CJ133" s="256"/>
      <c r="CK133" s="256"/>
      <c r="CL133" s="256"/>
      <c r="CM133" s="256"/>
      <c r="CN133" s="256"/>
      <c r="CO133" s="256"/>
      <c r="CP133" s="256"/>
      <c r="CQ133" s="256"/>
      <c r="CR133" s="256"/>
      <c r="CS133" s="256"/>
      <c r="CT133" s="256"/>
      <c r="CU133" s="256"/>
      <c r="CV133" s="256"/>
      <c r="CW133" s="256"/>
      <c r="CX133" s="256"/>
      <c r="CY133" s="256"/>
      <c r="CZ133" s="256"/>
      <c r="DA133" s="256"/>
      <c r="DB133" s="256"/>
      <c r="DC133" s="256"/>
    </row>
    <row r="134" spans="1:107" ht="12.75">
      <c r="A134" s="239"/>
      <c r="B134" s="287"/>
      <c r="C134" s="288"/>
      <c r="D134" s="289"/>
      <c r="E134" s="290"/>
      <c r="F134" s="29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233"/>
      <c r="S134" s="73"/>
      <c r="T134" s="71"/>
      <c r="U134" s="71"/>
      <c r="V134" s="71"/>
      <c r="W134" s="235"/>
      <c r="X134" s="235"/>
      <c r="Y134" s="235"/>
      <c r="Z134" s="68" t="str">
        <f t="shared" si="59"/>
        <v>N3</v>
      </c>
      <c r="AA134" s="69">
        <f t="shared" si="57"/>
        <v>125</v>
      </c>
      <c r="AB134" s="70">
        <f t="shared" si="58"/>
        <v>105.3950590326285</v>
      </c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BG134" s="14"/>
      <c r="CG134" s="256"/>
      <c r="CH134" s="256"/>
      <c r="CI134" s="256"/>
      <c r="CJ134" s="256"/>
      <c r="CK134" s="256"/>
      <c r="CL134" s="256"/>
      <c r="CM134" s="256"/>
      <c r="CN134" s="256"/>
      <c r="CO134" s="256"/>
      <c r="CP134" s="256"/>
      <c r="CQ134" s="256"/>
      <c r="CR134" s="256"/>
      <c r="CS134" s="256"/>
      <c r="CT134" s="256"/>
      <c r="CU134" s="256"/>
      <c r="CV134" s="256"/>
      <c r="CW134" s="256"/>
      <c r="CX134" s="256"/>
      <c r="CY134" s="256"/>
      <c r="CZ134" s="256"/>
      <c r="DA134" s="256"/>
      <c r="DB134" s="256"/>
      <c r="DC134" s="256"/>
    </row>
    <row r="135" spans="1:107" ht="12.75">
      <c r="A135" s="239"/>
      <c r="B135" s="287"/>
      <c r="C135" s="288"/>
      <c r="D135" s="289"/>
      <c r="E135" s="290"/>
      <c r="F135" s="29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233"/>
      <c r="S135" s="73"/>
      <c r="T135" s="71"/>
      <c r="U135" s="71"/>
      <c r="V135" s="71"/>
      <c r="W135" s="235"/>
      <c r="X135" s="235"/>
      <c r="Y135" s="235"/>
      <c r="Z135" s="68" t="str">
        <f t="shared" si="59"/>
        <v>D1</v>
      </c>
      <c r="AA135" s="69">
        <f t="shared" si="57"/>
        <v>125</v>
      </c>
      <c r="AB135" s="70">
        <f t="shared" si="58"/>
        <v>118.06408859856029</v>
      </c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BG135" s="14"/>
      <c r="CG135" s="256"/>
      <c r="CH135" s="256"/>
      <c r="CI135" s="256"/>
      <c r="CJ135" s="256"/>
      <c r="CK135" s="256"/>
      <c r="CL135" s="256"/>
      <c r="CM135" s="256"/>
      <c r="CN135" s="256"/>
      <c r="CO135" s="256"/>
      <c r="CP135" s="256"/>
      <c r="CQ135" s="256"/>
      <c r="CR135" s="256"/>
      <c r="CS135" s="256"/>
      <c r="CT135" s="256"/>
      <c r="CU135" s="256"/>
      <c r="CV135" s="256"/>
      <c r="CW135" s="256"/>
      <c r="CX135" s="256"/>
      <c r="CY135" s="256"/>
      <c r="CZ135" s="256"/>
      <c r="DA135" s="256"/>
      <c r="DB135" s="256"/>
      <c r="DC135" s="256"/>
    </row>
    <row r="136" spans="1:107" ht="12.75">
      <c r="A136" s="239"/>
      <c r="B136" s="287"/>
      <c r="C136" s="288"/>
      <c r="D136" s="289"/>
      <c r="E136" s="290"/>
      <c r="F136" s="29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233"/>
      <c r="S136" s="73"/>
      <c r="T136" s="71"/>
      <c r="U136" s="71"/>
      <c r="V136" s="71"/>
      <c r="W136" s="235"/>
      <c r="X136" s="235"/>
      <c r="Y136" s="235"/>
      <c r="Z136" s="68" t="str">
        <f t="shared" si="59"/>
        <v>D2</v>
      </c>
      <c r="AA136" s="69">
        <f t="shared" si="57"/>
        <v>125</v>
      </c>
      <c r="AB136" s="70">
        <f t="shared" si="58"/>
        <v>125</v>
      </c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BG136" s="14"/>
      <c r="CG136" s="256"/>
      <c r="CH136" s="256"/>
      <c r="CI136" s="256"/>
      <c r="CJ136" s="256"/>
      <c r="CK136" s="256"/>
      <c r="CL136" s="256"/>
      <c r="CM136" s="256"/>
      <c r="CN136" s="256"/>
      <c r="CO136" s="256"/>
      <c r="CP136" s="256"/>
      <c r="CQ136" s="256"/>
      <c r="CR136" s="256"/>
      <c r="CS136" s="256"/>
      <c r="CT136" s="256"/>
      <c r="CU136" s="256"/>
      <c r="CV136" s="256"/>
      <c r="CW136" s="256"/>
      <c r="CX136" s="256"/>
      <c r="CY136" s="256"/>
      <c r="CZ136" s="256"/>
      <c r="DA136" s="256"/>
      <c r="DB136" s="256"/>
      <c r="DC136" s="256"/>
    </row>
    <row r="137" spans="1:107" ht="12.75">
      <c r="A137" s="239"/>
      <c r="B137" s="287"/>
      <c r="C137" s="288"/>
      <c r="D137" s="289"/>
      <c r="E137" s="290"/>
      <c r="F137" s="290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233"/>
      <c r="S137" s="73"/>
      <c r="T137" s="71"/>
      <c r="U137" s="71"/>
      <c r="V137" s="71"/>
      <c r="W137" s="235"/>
      <c r="X137" s="235"/>
      <c r="Y137" s="235"/>
      <c r="Z137" s="68" t="str">
        <f t="shared" si="59"/>
        <v>D3</v>
      </c>
      <c r="AA137" s="69">
        <f t="shared" si="57"/>
        <v>125</v>
      </c>
      <c r="AB137" s="70">
        <f t="shared" si="58"/>
        <v>125</v>
      </c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BG137" s="14"/>
      <c r="CG137" s="256"/>
      <c r="CH137" s="256"/>
      <c r="CI137" s="256"/>
      <c r="CJ137" s="256"/>
      <c r="CK137" s="256"/>
      <c r="CL137" s="256"/>
      <c r="CM137" s="256"/>
      <c r="CN137" s="256"/>
      <c r="CO137" s="256"/>
      <c r="CP137" s="256"/>
      <c r="CQ137" s="256"/>
      <c r="CR137" s="256"/>
      <c r="CS137" s="256"/>
      <c r="CT137" s="256"/>
      <c r="CU137" s="256"/>
      <c r="CV137" s="256"/>
      <c r="CW137" s="256"/>
      <c r="CX137" s="256"/>
      <c r="CY137" s="256"/>
      <c r="CZ137" s="256"/>
      <c r="DA137" s="256"/>
      <c r="DB137" s="256"/>
      <c r="DC137" s="256"/>
    </row>
    <row r="138" spans="1:107" ht="12.75">
      <c r="A138" s="239"/>
      <c r="B138" s="287"/>
      <c r="C138" s="288"/>
      <c r="D138" s="289"/>
      <c r="E138" s="290"/>
      <c r="F138" s="29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233"/>
      <c r="S138" s="73"/>
      <c r="T138" s="71"/>
      <c r="U138" s="71"/>
      <c r="V138" s="71"/>
      <c r="W138" s="235"/>
      <c r="X138" s="235"/>
      <c r="Y138" s="235"/>
      <c r="Z138" s="283"/>
      <c r="AA138" s="291"/>
      <c r="AB138" s="291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BG138" s="14"/>
      <c r="CG138" s="256"/>
      <c r="CH138" s="256"/>
      <c r="CI138" s="256"/>
      <c r="CJ138" s="256"/>
      <c r="CK138" s="256"/>
      <c r="CL138" s="256"/>
      <c r="CM138" s="256"/>
      <c r="CN138" s="256"/>
      <c r="CO138" s="256"/>
      <c r="CP138" s="256"/>
      <c r="CQ138" s="256"/>
      <c r="CR138" s="256"/>
      <c r="CS138" s="256"/>
      <c r="CT138" s="256"/>
      <c r="CU138" s="256"/>
      <c r="CV138" s="256"/>
      <c r="CW138" s="256"/>
      <c r="CX138" s="256"/>
      <c r="CY138" s="256"/>
      <c r="CZ138" s="256"/>
      <c r="DA138" s="256"/>
      <c r="DB138" s="256"/>
      <c r="DC138" s="256"/>
    </row>
    <row r="139" spans="1:107" ht="12.75">
      <c r="A139" s="239"/>
      <c r="B139" s="287"/>
      <c r="C139" s="288"/>
      <c r="D139" s="289"/>
      <c r="E139" s="290"/>
      <c r="F139" s="290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233"/>
      <c r="S139" s="73"/>
      <c r="T139" s="71"/>
      <c r="U139" s="71"/>
      <c r="V139" s="71"/>
      <c r="W139" s="235"/>
      <c r="X139" s="235"/>
      <c r="Y139" s="235"/>
      <c r="Z139" s="245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BG139" s="14"/>
      <c r="CG139" s="256"/>
      <c r="CH139" s="256"/>
      <c r="CI139" s="256"/>
      <c r="CJ139" s="256"/>
      <c r="CK139" s="256"/>
      <c r="CL139" s="256"/>
      <c r="CM139" s="256"/>
      <c r="CN139" s="256"/>
      <c r="CO139" s="256"/>
      <c r="CP139" s="256"/>
      <c r="CQ139" s="256"/>
      <c r="CR139" s="256"/>
      <c r="CS139" s="256"/>
      <c r="CT139" s="256"/>
      <c r="CU139" s="256"/>
      <c r="CV139" s="256"/>
      <c r="CW139" s="256"/>
      <c r="CX139" s="256"/>
      <c r="CY139" s="256"/>
      <c r="CZ139" s="256"/>
      <c r="DA139" s="256"/>
      <c r="DB139" s="256"/>
      <c r="DC139" s="256"/>
    </row>
    <row r="140" spans="2:59" ht="12.75">
      <c r="B140" s="109"/>
      <c r="C140" s="110"/>
      <c r="D140" s="111"/>
      <c r="E140" s="112"/>
      <c r="F140" s="112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108"/>
      <c r="S140" s="85"/>
      <c r="T140" s="81"/>
      <c r="U140" s="81"/>
      <c r="V140" s="81"/>
      <c r="W140" s="13"/>
      <c r="X140" s="13"/>
      <c r="Y140" s="13"/>
      <c r="BG140" s="14"/>
    </row>
    <row r="141" spans="2:59" ht="12.75">
      <c r="B141" s="109"/>
      <c r="C141" s="110"/>
      <c r="D141" s="111"/>
      <c r="E141" s="112"/>
      <c r="F141" s="112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108"/>
      <c r="S141" s="85"/>
      <c r="T141" s="81"/>
      <c r="U141" s="81"/>
      <c r="V141" s="81"/>
      <c r="W141" s="13"/>
      <c r="X141" s="13"/>
      <c r="Y141" s="13"/>
      <c r="BG141" s="14"/>
    </row>
    <row r="142" spans="2:59" ht="12.75">
      <c r="B142" s="109"/>
      <c r="C142" s="110"/>
      <c r="D142" s="111"/>
      <c r="E142" s="112"/>
      <c r="F142" s="112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108"/>
      <c r="S142" s="85"/>
      <c r="T142" s="81"/>
      <c r="U142" s="81"/>
      <c r="V142" s="81"/>
      <c r="W142" s="13"/>
      <c r="X142" s="13"/>
      <c r="Y142" s="13"/>
      <c r="BG142" s="14"/>
    </row>
    <row r="143" spans="2:59" ht="12.75">
      <c r="B143" s="109"/>
      <c r="C143" s="110"/>
      <c r="D143" s="111"/>
      <c r="E143" s="112"/>
      <c r="F143" s="112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108"/>
      <c r="S143" s="85"/>
      <c r="T143" s="81"/>
      <c r="U143" s="81"/>
      <c r="V143" s="81"/>
      <c r="W143" s="13"/>
      <c r="X143" s="13"/>
      <c r="Y143" s="13"/>
      <c r="BG143" s="14"/>
    </row>
    <row r="144" spans="2:59" ht="12.75">
      <c r="B144" s="109"/>
      <c r="C144" s="110"/>
      <c r="D144" s="111"/>
      <c r="E144" s="112"/>
      <c r="F144" s="112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108"/>
      <c r="S144" s="85"/>
      <c r="T144" s="81"/>
      <c r="U144" s="81"/>
      <c r="V144" s="81"/>
      <c r="W144" s="13"/>
      <c r="X144" s="13"/>
      <c r="Y144" s="13"/>
      <c r="BG144" s="14"/>
    </row>
    <row r="145" spans="2:59" ht="12.75">
      <c r="B145" s="109"/>
      <c r="C145" s="110"/>
      <c r="D145" s="111"/>
      <c r="E145" s="112"/>
      <c r="F145" s="112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108"/>
      <c r="S145" s="85"/>
      <c r="T145" s="81"/>
      <c r="U145" s="81"/>
      <c r="V145" s="81"/>
      <c r="W145" s="13"/>
      <c r="X145" s="13"/>
      <c r="Y145" s="13"/>
      <c r="BG145" s="14"/>
    </row>
    <row r="146" spans="2:59" ht="12.75">
      <c r="B146" s="109"/>
      <c r="C146" s="110"/>
      <c r="D146" s="111"/>
      <c r="E146" s="112"/>
      <c r="F146" s="112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108"/>
      <c r="S146" s="85"/>
      <c r="T146" s="81"/>
      <c r="U146" s="81"/>
      <c r="V146" s="81"/>
      <c r="W146" s="13"/>
      <c r="X146" s="13"/>
      <c r="Y146" s="13"/>
      <c r="BG146" s="14"/>
    </row>
    <row r="147" spans="2:59" ht="12.75">
      <c r="B147" s="109"/>
      <c r="C147" s="110"/>
      <c r="D147" s="111"/>
      <c r="E147" s="112"/>
      <c r="F147" s="112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108"/>
      <c r="S147" s="85"/>
      <c r="T147" s="81"/>
      <c r="U147" s="81"/>
      <c r="V147" s="81"/>
      <c r="W147" s="13"/>
      <c r="X147" s="13"/>
      <c r="Y147" s="13"/>
      <c r="BG147" s="14"/>
    </row>
    <row r="148" spans="2:59" ht="12.75">
      <c r="B148" s="109"/>
      <c r="C148" s="110"/>
      <c r="D148" s="111"/>
      <c r="E148" s="112"/>
      <c r="F148" s="112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108"/>
      <c r="S148" s="85"/>
      <c r="T148" s="81"/>
      <c r="U148" s="81"/>
      <c r="V148" s="81"/>
      <c r="W148" s="13"/>
      <c r="X148" s="13"/>
      <c r="Y148" s="13"/>
      <c r="BG148" s="14"/>
    </row>
    <row r="149" spans="2:59" ht="12.75">
      <c r="B149" s="109"/>
      <c r="C149" s="110"/>
      <c r="D149" s="111"/>
      <c r="E149" s="112"/>
      <c r="F149" s="112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108"/>
      <c r="S149" s="85"/>
      <c r="T149" s="81"/>
      <c r="U149" s="81"/>
      <c r="V149" s="81"/>
      <c r="W149" s="13"/>
      <c r="X149" s="13"/>
      <c r="Y149" s="13"/>
      <c r="BG149" s="14"/>
    </row>
    <row r="150" spans="2:59" ht="12.75">
      <c r="B150" s="109"/>
      <c r="C150" s="110"/>
      <c r="D150" s="111"/>
      <c r="E150" s="112"/>
      <c r="F150" s="112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108"/>
      <c r="S150" s="85"/>
      <c r="T150" s="81"/>
      <c r="U150" s="81"/>
      <c r="V150" s="81"/>
      <c r="W150" s="13"/>
      <c r="X150" s="13"/>
      <c r="Y150" s="13"/>
      <c r="BG150" s="14"/>
    </row>
    <row r="151" spans="2:59" ht="12.75">
      <c r="B151" s="109"/>
      <c r="C151" s="110"/>
      <c r="D151" s="111"/>
      <c r="E151" s="112"/>
      <c r="F151" s="112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108"/>
      <c r="S151" s="85"/>
      <c r="T151" s="81"/>
      <c r="U151" s="81"/>
      <c r="V151" s="81"/>
      <c r="W151" s="13"/>
      <c r="X151" s="13"/>
      <c r="Y151" s="13"/>
      <c r="BG151" s="14"/>
    </row>
    <row r="152" spans="2:59" ht="12.75">
      <c r="B152" s="109"/>
      <c r="C152" s="110"/>
      <c r="D152" s="111"/>
      <c r="E152" s="112"/>
      <c r="F152" s="112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108"/>
      <c r="S152" s="85"/>
      <c r="T152" s="81"/>
      <c r="U152" s="81"/>
      <c r="V152" s="81"/>
      <c r="W152" s="13"/>
      <c r="X152" s="13"/>
      <c r="Y152" s="13"/>
      <c r="BG152" s="14"/>
    </row>
    <row r="153" spans="2:59" ht="12.75">
      <c r="B153" s="109"/>
      <c r="C153" s="110"/>
      <c r="D153" s="111"/>
      <c r="E153" s="112"/>
      <c r="F153" s="112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108"/>
      <c r="S153" s="85"/>
      <c r="T153" s="81"/>
      <c r="U153" s="81"/>
      <c r="V153" s="81"/>
      <c r="W153" s="13"/>
      <c r="X153" s="13"/>
      <c r="Y153" s="13"/>
      <c r="BG153" s="14"/>
    </row>
    <row r="154" spans="2:59" ht="12.75">
      <c r="B154" s="109"/>
      <c r="C154" s="110"/>
      <c r="D154" s="111"/>
      <c r="E154" s="112"/>
      <c r="F154" s="112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108"/>
      <c r="S154" s="85"/>
      <c r="T154" s="81"/>
      <c r="U154" s="81"/>
      <c r="V154" s="81"/>
      <c r="W154" s="13"/>
      <c r="X154" s="13"/>
      <c r="Y154" s="13"/>
      <c r="BG154" s="14"/>
    </row>
    <row r="155" spans="2:59" ht="12.75">
      <c r="B155" s="109"/>
      <c r="C155" s="110"/>
      <c r="D155" s="111"/>
      <c r="E155" s="112"/>
      <c r="F155" s="112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108"/>
      <c r="S155" s="85"/>
      <c r="T155" s="81"/>
      <c r="U155" s="81"/>
      <c r="V155" s="81"/>
      <c r="W155" s="13"/>
      <c r="X155" s="13"/>
      <c r="Y155" s="13"/>
      <c r="BG155" s="14"/>
    </row>
    <row r="156" spans="2:59" ht="12.75">
      <c r="B156" s="109"/>
      <c r="C156" s="110"/>
      <c r="D156" s="111"/>
      <c r="E156" s="112"/>
      <c r="F156" s="112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108"/>
      <c r="S156" s="85"/>
      <c r="T156" s="81"/>
      <c r="U156" s="81"/>
      <c r="V156" s="81"/>
      <c r="W156" s="13"/>
      <c r="X156" s="13"/>
      <c r="Y156" s="13"/>
      <c r="BG156" s="14"/>
    </row>
    <row r="157" spans="2:59" ht="12.75">
      <c r="B157" s="109"/>
      <c r="C157" s="110"/>
      <c r="D157" s="111"/>
      <c r="E157" s="112"/>
      <c r="F157" s="112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108"/>
      <c r="S157" s="85"/>
      <c r="T157" s="81"/>
      <c r="U157" s="81"/>
      <c r="V157" s="81"/>
      <c r="W157" s="13"/>
      <c r="X157" s="13"/>
      <c r="Y157" s="13"/>
      <c r="BG157" s="14"/>
    </row>
    <row r="158" spans="2:59" ht="12.75">
      <c r="B158" s="109"/>
      <c r="C158" s="110"/>
      <c r="D158" s="111"/>
      <c r="E158" s="112"/>
      <c r="F158" s="112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108"/>
      <c r="S158" s="85"/>
      <c r="T158" s="81"/>
      <c r="U158" s="81"/>
      <c r="V158" s="81"/>
      <c r="W158" s="13"/>
      <c r="X158" s="13"/>
      <c r="Y158" s="13"/>
      <c r="BG158" s="14"/>
    </row>
    <row r="159" spans="2:59" ht="12.75">
      <c r="B159" s="109"/>
      <c r="C159" s="110"/>
      <c r="D159" s="111"/>
      <c r="E159" s="112"/>
      <c r="F159" s="112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108"/>
      <c r="S159" s="85"/>
      <c r="T159" s="81"/>
      <c r="U159" s="81"/>
      <c r="V159" s="81"/>
      <c r="W159" s="13"/>
      <c r="X159" s="13"/>
      <c r="Y159" s="13"/>
      <c r="BG159" s="14"/>
    </row>
    <row r="160" spans="2:59" ht="12.75">
      <c r="B160" s="109"/>
      <c r="C160" s="110"/>
      <c r="D160" s="111"/>
      <c r="E160" s="112"/>
      <c r="F160" s="112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108"/>
      <c r="S160" s="85"/>
      <c r="T160" s="81"/>
      <c r="U160" s="81"/>
      <c r="V160" s="81"/>
      <c r="W160" s="13"/>
      <c r="X160" s="13"/>
      <c r="Y160" s="13"/>
      <c r="BG160" s="14"/>
    </row>
    <row r="161" spans="2:59" ht="12.75">
      <c r="B161" s="109"/>
      <c r="C161" s="110"/>
      <c r="D161" s="111"/>
      <c r="E161" s="112"/>
      <c r="F161" s="112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108"/>
      <c r="S161" s="85"/>
      <c r="T161" s="81"/>
      <c r="U161" s="81"/>
      <c r="V161" s="81"/>
      <c r="W161" s="13"/>
      <c r="X161" s="13"/>
      <c r="Y161" s="13"/>
      <c r="BG161" s="14"/>
    </row>
    <row r="162" spans="2:59" ht="12.75">
      <c r="B162" s="109"/>
      <c r="C162" s="110"/>
      <c r="D162" s="111"/>
      <c r="E162" s="112"/>
      <c r="F162" s="112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108"/>
      <c r="S162" s="85"/>
      <c r="T162" s="81"/>
      <c r="U162" s="81"/>
      <c r="V162" s="81"/>
      <c r="W162" s="13"/>
      <c r="X162" s="13"/>
      <c r="Y162" s="13"/>
      <c r="BG162" s="14"/>
    </row>
    <row r="163" spans="2:59" ht="12.75">
      <c r="B163" s="109"/>
      <c r="C163" s="110"/>
      <c r="D163" s="111"/>
      <c r="E163" s="112"/>
      <c r="F163" s="112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108"/>
      <c r="S163" s="85"/>
      <c r="T163" s="81"/>
      <c r="U163" s="81"/>
      <c r="V163" s="81"/>
      <c r="W163" s="13"/>
      <c r="X163" s="13"/>
      <c r="Y163" s="13"/>
      <c r="BG163" s="14"/>
    </row>
    <row r="164" spans="2:59" ht="12.75">
      <c r="B164" s="109"/>
      <c r="C164" s="110"/>
      <c r="D164" s="111"/>
      <c r="E164" s="112"/>
      <c r="F164" s="112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108"/>
      <c r="S164" s="85"/>
      <c r="T164" s="81"/>
      <c r="U164" s="81"/>
      <c r="V164" s="81"/>
      <c r="W164" s="13"/>
      <c r="X164" s="13"/>
      <c r="Y164" s="13"/>
      <c r="BG164" s="14"/>
    </row>
    <row r="165" spans="2:59" ht="12.75">
      <c r="B165" s="109"/>
      <c r="C165" s="110"/>
      <c r="D165" s="111"/>
      <c r="E165" s="112"/>
      <c r="F165" s="112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108"/>
      <c r="S165" s="85"/>
      <c r="T165" s="81"/>
      <c r="U165" s="81"/>
      <c r="V165" s="81"/>
      <c r="W165" s="13"/>
      <c r="X165" s="13"/>
      <c r="Y165" s="13"/>
      <c r="BG165" s="14"/>
    </row>
    <row r="166" spans="2:59" ht="12.75">
      <c r="B166" s="109"/>
      <c r="C166" s="110"/>
      <c r="D166" s="111"/>
      <c r="E166" s="112"/>
      <c r="F166" s="112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108"/>
      <c r="S166" s="85"/>
      <c r="T166" s="81"/>
      <c r="U166" s="81"/>
      <c r="V166" s="81"/>
      <c r="W166" s="13"/>
      <c r="X166" s="13"/>
      <c r="Y166" s="13"/>
      <c r="BG166" s="14"/>
    </row>
    <row r="167" spans="2:59" ht="12.75">
      <c r="B167" s="109"/>
      <c r="C167" s="110"/>
      <c r="D167" s="111"/>
      <c r="E167" s="112"/>
      <c r="F167" s="112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108"/>
      <c r="S167" s="85"/>
      <c r="T167" s="81"/>
      <c r="U167" s="81"/>
      <c r="V167" s="81"/>
      <c r="W167" s="13"/>
      <c r="X167" s="13"/>
      <c r="Y167" s="13"/>
      <c r="BG167" s="14"/>
    </row>
    <row r="168" spans="2:59" ht="12.75">
      <c r="B168" s="109"/>
      <c r="C168" s="110"/>
      <c r="D168" s="111"/>
      <c r="E168" s="112"/>
      <c r="F168" s="112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108"/>
      <c r="S168" s="85"/>
      <c r="T168" s="81"/>
      <c r="U168" s="81"/>
      <c r="V168" s="81"/>
      <c r="W168" s="13"/>
      <c r="X168" s="13"/>
      <c r="Y168" s="13"/>
      <c r="BG168" s="14"/>
    </row>
    <row r="169" spans="2:59" ht="12.75">
      <c r="B169" s="109"/>
      <c r="C169" s="110"/>
      <c r="D169" s="111"/>
      <c r="E169" s="112"/>
      <c r="F169" s="112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108"/>
      <c r="S169" s="85"/>
      <c r="T169" s="81"/>
      <c r="U169" s="81"/>
      <c r="V169" s="81"/>
      <c r="W169" s="13"/>
      <c r="X169" s="13"/>
      <c r="Y169" s="13"/>
      <c r="BG169" s="14"/>
    </row>
    <row r="170" spans="2:59" ht="12.75">
      <c r="B170" s="109"/>
      <c r="C170" s="110"/>
      <c r="D170" s="111"/>
      <c r="E170" s="112"/>
      <c r="F170" s="112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108"/>
      <c r="S170" s="85"/>
      <c r="T170" s="81"/>
      <c r="U170" s="81"/>
      <c r="V170" s="81"/>
      <c r="W170" s="13"/>
      <c r="X170" s="13"/>
      <c r="Y170" s="13"/>
      <c r="BG170" s="14"/>
    </row>
    <row r="171" spans="2:59" ht="12.75">
      <c r="B171" s="109"/>
      <c r="C171" s="110"/>
      <c r="D171" s="111"/>
      <c r="E171" s="112"/>
      <c r="F171" s="112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108"/>
      <c r="S171" s="85"/>
      <c r="T171" s="81"/>
      <c r="U171" s="81"/>
      <c r="V171" s="81"/>
      <c r="W171" s="13"/>
      <c r="X171" s="13"/>
      <c r="Y171" s="13"/>
      <c r="BG171" s="14"/>
    </row>
    <row r="172" spans="2:59" ht="12.75">
      <c r="B172" s="109"/>
      <c r="C172" s="110"/>
      <c r="D172" s="111"/>
      <c r="E172" s="112"/>
      <c r="F172" s="112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108"/>
      <c r="S172" s="85"/>
      <c r="T172" s="81"/>
      <c r="U172" s="81"/>
      <c r="V172" s="81"/>
      <c r="W172" s="13"/>
      <c r="X172" s="13"/>
      <c r="Y172" s="13"/>
      <c r="BG172" s="14"/>
    </row>
    <row r="173" spans="2:59" ht="12.75">
      <c r="B173" s="109"/>
      <c r="C173" s="110"/>
      <c r="D173" s="111"/>
      <c r="E173" s="112"/>
      <c r="F173" s="112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108"/>
      <c r="S173" s="85"/>
      <c r="T173" s="81"/>
      <c r="U173" s="81"/>
      <c r="V173" s="81"/>
      <c r="W173" s="13"/>
      <c r="X173" s="13"/>
      <c r="Y173" s="13"/>
      <c r="BG173" s="14"/>
    </row>
    <row r="174" spans="2:59" ht="12.75">
      <c r="B174" s="109"/>
      <c r="C174" s="110"/>
      <c r="D174" s="111"/>
      <c r="E174" s="112"/>
      <c r="F174" s="112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108"/>
      <c r="S174" s="85"/>
      <c r="T174" s="81"/>
      <c r="U174" s="81"/>
      <c r="V174" s="81"/>
      <c r="W174" s="13"/>
      <c r="X174" s="13"/>
      <c r="Y174" s="13"/>
      <c r="BG174" s="14"/>
    </row>
    <row r="175" spans="2:59" ht="12.75">
      <c r="B175" s="109"/>
      <c r="C175" s="110"/>
      <c r="D175" s="111"/>
      <c r="E175" s="112"/>
      <c r="F175" s="112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108"/>
      <c r="S175" s="85"/>
      <c r="T175" s="81"/>
      <c r="U175" s="81"/>
      <c r="V175" s="81"/>
      <c r="W175" s="13"/>
      <c r="X175" s="13"/>
      <c r="Y175" s="13"/>
      <c r="BG175" s="14"/>
    </row>
    <row r="176" spans="2:59" ht="12.75">
      <c r="B176" s="109"/>
      <c r="C176" s="110"/>
      <c r="D176" s="111"/>
      <c r="E176" s="112"/>
      <c r="F176" s="112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108"/>
      <c r="S176" s="85"/>
      <c r="T176" s="81"/>
      <c r="U176" s="81"/>
      <c r="V176" s="81"/>
      <c r="W176" s="13"/>
      <c r="X176" s="13"/>
      <c r="Y176" s="13"/>
      <c r="BG176" s="14"/>
    </row>
    <row r="177" spans="2:59" ht="12.75">
      <c r="B177" s="109"/>
      <c r="C177" s="110"/>
      <c r="D177" s="111"/>
      <c r="E177" s="112"/>
      <c r="F177" s="112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108"/>
      <c r="S177" s="85"/>
      <c r="T177" s="81"/>
      <c r="U177" s="81"/>
      <c r="V177" s="81"/>
      <c r="W177" s="13"/>
      <c r="X177" s="13"/>
      <c r="Y177" s="13"/>
      <c r="BG177" s="14"/>
    </row>
    <row r="178" spans="2:59" ht="12.75">
      <c r="B178" s="109"/>
      <c r="C178" s="110"/>
      <c r="D178" s="111"/>
      <c r="E178" s="112"/>
      <c r="F178" s="112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108"/>
      <c r="S178" s="85"/>
      <c r="T178" s="81"/>
      <c r="U178" s="81"/>
      <c r="V178" s="81"/>
      <c r="W178" s="13"/>
      <c r="X178" s="13"/>
      <c r="Y178" s="13"/>
      <c r="BG178" s="14"/>
    </row>
    <row r="179" spans="2:59" ht="12.75">
      <c r="B179" s="109"/>
      <c r="C179" s="110"/>
      <c r="D179" s="111"/>
      <c r="E179" s="112"/>
      <c r="F179" s="112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108"/>
      <c r="S179" s="85"/>
      <c r="T179" s="81"/>
      <c r="U179" s="81"/>
      <c r="V179" s="81"/>
      <c r="W179" s="13"/>
      <c r="X179" s="13"/>
      <c r="Y179" s="13"/>
      <c r="BG179" s="14"/>
    </row>
    <row r="180" spans="2:59" ht="12.75">
      <c r="B180" s="109"/>
      <c r="C180" s="110"/>
      <c r="D180" s="111"/>
      <c r="E180" s="112"/>
      <c r="F180" s="112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108"/>
      <c r="S180" s="85"/>
      <c r="T180" s="81"/>
      <c r="U180" s="81"/>
      <c r="V180" s="81"/>
      <c r="W180" s="13"/>
      <c r="X180" s="13"/>
      <c r="Y180" s="13"/>
      <c r="BG180" s="14"/>
    </row>
    <row r="181" spans="2:59" ht="12.75">
      <c r="B181" s="109"/>
      <c r="C181" s="110"/>
      <c r="D181" s="111"/>
      <c r="E181" s="112"/>
      <c r="F181" s="112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108"/>
      <c r="S181" s="85"/>
      <c r="T181" s="81"/>
      <c r="U181" s="81"/>
      <c r="V181" s="81"/>
      <c r="W181" s="13"/>
      <c r="X181" s="13"/>
      <c r="Y181" s="13"/>
      <c r="BG181" s="14"/>
    </row>
    <row r="182" spans="2:59" ht="12.75">
      <c r="B182" s="109"/>
      <c r="C182" s="110"/>
      <c r="D182" s="111"/>
      <c r="E182" s="112"/>
      <c r="F182" s="112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108"/>
      <c r="S182" s="85"/>
      <c r="T182" s="81"/>
      <c r="U182" s="81"/>
      <c r="V182" s="81"/>
      <c r="W182" s="13"/>
      <c r="X182" s="13"/>
      <c r="Y182" s="13"/>
      <c r="BG182" s="14"/>
    </row>
    <row r="183" spans="2:59" ht="12.75">
      <c r="B183" s="109"/>
      <c r="C183" s="110"/>
      <c r="D183" s="111"/>
      <c r="E183" s="112"/>
      <c r="F183" s="112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108"/>
      <c r="S183" s="85"/>
      <c r="T183" s="81"/>
      <c r="U183" s="81"/>
      <c r="V183" s="81"/>
      <c r="W183" s="13"/>
      <c r="X183" s="13"/>
      <c r="Y183" s="13"/>
      <c r="BG183" s="14"/>
    </row>
    <row r="184" spans="2:59" ht="12.75">
      <c r="B184" s="109"/>
      <c r="C184" s="110"/>
      <c r="D184" s="111"/>
      <c r="E184" s="112"/>
      <c r="F184" s="112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108"/>
      <c r="S184" s="85"/>
      <c r="T184" s="81"/>
      <c r="U184" s="81"/>
      <c r="V184" s="81"/>
      <c r="W184" s="13"/>
      <c r="X184" s="13"/>
      <c r="Y184" s="13"/>
      <c r="BG184" s="14"/>
    </row>
    <row r="185" spans="2:59" ht="12.75">
      <c r="B185" s="109"/>
      <c r="C185" s="110"/>
      <c r="D185" s="111"/>
      <c r="E185" s="112"/>
      <c r="F185" s="112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108"/>
      <c r="S185" s="85"/>
      <c r="T185" s="81"/>
      <c r="U185" s="81"/>
      <c r="V185" s="81"/>
      <c r="W185" s="13"/>
      <c r="X185" s="13"/>
      <c r="Y185" s="13"/>
      <c r="BG185" s="14"/>
    </row>
    <row r="186" spans="2:59" ht="12.75">
      <c r="B186" s="109"/>
      <c r="C186" s="110"/>
      <c r="D186" s="111"/>
      <c r="E186" s="112"/>
      <c r="F186" s="112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108"/>
      <c r="S186" s="85"/>
      <c r="T186" s="81"/>
      <c r="U186" s="81"/>
      <c r="V186" s="81"/>
      <c r="W186" s="13"/>
      <c r="X186" s="13"/>
      <c r="Y186" s="13"/>
      <c r="BG186" s="14"/>
    </row>
    <row r="187" spans="2:59" ht="12.75">
      <c r="B187" s="109"/>
      <c r="C187" s="110"/>
      <c r="D187" s="111"/>
      <c r="E187" s="112"/>
      <c r="F187" s="112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108"/>
      <c r="S187" s="85"/>
      <c r="T187" s="81"/>
      <c r="U187" s="81"/>
      <c r="V187" s="81"/>
      <c r="W187" s="13"/>
      <c r="X187" s="13"/>
      <c r="Y187" s="13"/>
      <c r="BG187" s="14"/>
    </row>
    <row r="188" spans="2:59" ht="12.75">
      <c r="B188" s="109"/>
      <c r="C188" s="110"/>
      <c r="D188" s="111"/>
      <c r="E188" s="112"/>
      <c r="F188" s="112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108"/>
      <c r="S188" s="85"/>
      <c r="T188" s="81"/>
      <c r="U188" s="81"/>
      <c r="V188" s="81"/>
      <c r="W188" s="13"/>
      <c r="X188" s="13"/>
      <c r="Y188" s="13"/>
      <c r="BG188" s="14"/>
    </row>
    <row r="189" spans="2:59" ht="12.75">
      <c r="B189" s="109"/>
      <c r="C189" s="110"/>
      <c r="D189" s="111"/>
      <c r="E189" s="112"/>
      <c r="F189" s="112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108"/>
      <c r="S189" s="85"/>
      <c r="T189" s="81"/>
      <c r="U189" s="81"/>
      <c r="V189" s="81"/>
      <c r="W189" s="13"/>
      <c r="X189" s="13"/>
      <c r="Y189" s="13"/>
      <c r="BG189" s="14"/>
    </row>
    <row r="190" spans="2:59" ht="12.75">
      <c r="B190" s="109"/>
      <c r="C190" s="110"/>
      <c r="D190" s="111"/>
      <c r="E190" s="112"/>
      <c r="F190" s="112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108"/>
      <c r="S190" s="85"/>
      <c r="T190" s="81"/>
      <c r="U190" s="81"/>
      <c r="V190" s="81"/>
      <c r="W190" s="13"/>
      <c r="X190" s="13"/>
      <c r="Y190" s="13"/>
      <c r="BG190" s="14"/>
    </row>
    <row r="191" spans="2:59" ht="12.75">
      <c r="B191" s="109"/>
      <c r="C191" s="110"/>
      <c r="D191" s="111"/>
      <c r="E191" s="112"/>
      <c r="F191" s="112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108"/>
      <c r="S191" s="85"/>
      <c r="T191" s="81"/>
      <c r="U191" s="81"/>
      <c r="V191" s="81"/>
      <c r="W191" s="13"/>
      <c r="X191" s="13"/>
      <c r="Y191" s="13"/>
      <c r="BG191" s="14"/>
    </row>
    <row r="192" spans="2:59" ht="12.75">
      <c r="B192" s="109"/>
      <c r="C192" s="110"/>
      <c r="D192" s="111"/>
      <c r="E192" s="112"/>
      <c r="F192" s="112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108"/>
      <c r="S192" s="85"/>
      <c r="T192" s="81"/>
      <c r="U192" s="81"/>
      <c r="V192" s="81"/>
      <c r="W192" s="13"/>
      <c r="X192" s="13"/>
      <c r="Y192" s="13"/>
      <c r="BG192" s="14"/>
    </row>
    <row r="193" spans="2:59" ht="12.75">
      <c r="B193" s="109"/>
      <c r="C193" s="110"/>
      <c r="D193" s="111"/>
      <c r="E193" s="112"/>
      <c r="F193" s="112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108"/>
      <c r="S193" s="85"/>
      <c r="T193" s="81"/>
      <c r="U193" s="81"/>
      <c r="V193" s="81"/>
      <c r="W193" s="13"/>
      <c r="X193" s="13"/>
      <c r="Y193" s="13"/>
      <c r="BG193" s="14"/>
    </row>
    <row r="194" spans="2:59" ht="12.75">
      <c r="B194" s="109"/>
      <c r="C194" s="110"/>
      <c r="D194" s="111"/>
      <c r="E194" s="112"/>
      <c r="F194" s="112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108"/>
      <c r="S194" s="85"/>
      <c r="T194" s="81"/>
      <c r="U194" s="81"/>
      <c r="V194" s="81"/>
      <c r="W194" s="13"/>
      <c r="X194" s="13"/>
      <c r="Y194" s="13"/>
      <c r="BG194" s="14"/>
    </row>
    <row r="195" spans="2:59" ht="12.75">
      <c r="B195" s="109"/>
      <c r="C195" s="110"/>
      <c r="D195" s="111"/>
      <c r="E195" s="112"/>
      <c r="F195" s="112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108"/>
      <c r="S195" s="85"/>
      <c r="T195" s="81"/>
      <c r="U195" s="81"/>
      <c r="V195" s="81"/>
      <c r="W195" s="13"/>
      <c r="X195" s="13"/>
      <c r="Y195" s="13"/>
      <c r="BG195" s="14"/>
    </row>
    <row r="196" spans="2:59" ht="12.75">
      <c r="B196" s="109"/>
      <c r="C196" s="110"/>
      <c r="D196" s="111"/>
      <c r="E196" s="112"/>
      <c r="F196" s="112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108"/>
      <c r="S196" s="85"/>
      <c r="T196" s="81"/>
      <c r="U196" s="81"/>
      <c r="V196" s="81"/>
      <c r="W196" s="13"/>
      <c r="X196" s="13"/>
      <c r="Y196" s="13"/>
      <c r="BG196" s="14"/>
    </row>
    <row r="197" spans="2:59" ht="12.75">
      <c r="B197" s="109"/>
      <c r="C197" s="110"/>
      <c r="D197" s="111"/>
      <c r="E197" s="112"/>
      <c r="F197" s="112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108"/>
      <c r="S197" s="85"/>
      <c r="T197" s="81"/>
      <c r="U197" s="81"/>
      <c r="V197" s="81"/>
      <c r="W197" s="13"/>
      <c r="X197" s="13"/>
      <c r="Y197" s="13"/>
      <c r="BG197" s="14"/>
    </row>
    <row r="198" spans="2:59" ht="12.75">
      <c r="B198" s="109"/>
      <c r="C198" s="110"/>
      <c r="D198" s="111"/>
      <c r="E198" s="112"/>
      <c r="F198" s="112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108"/>
      <c r="S198" s="85"/>
      <c r="T198" s="81"/>
      <c r="U198" s="81"/>
      <c r="V198" s="81"/>
      <c r="W198" s="13"/>
      <c r="X198" s="13"/>
      <c r="Y198" s="13"/>
      <c r="BG198" s="14"/>
    </row>
    <row r="199" spans="2:59" ht="12.75">
      <c r="B199" s="109"/>
      <c r="C199" s="110"/>
      <c r="D199" s="111"/>
      <c r="E199" s="112"/>
      <c r="F199" s="112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108"/>
      <c r="S199" s="85"/>
      <c r="T199" s="81"/>
      <c r="U199" s="81"/>
      <c r="V199" s="81"/>
      <c r="W199" s="13"/>
      <c r="X199" s="13"/>
      <c r="Y199" s="13"/>
      <c r="BG199" s="14"/>
    </row>
    <row r="200" spans="2:59" ht="12.75">
      <c r="B200" s="109"/>
      <c r="C200" s="110"/>
      <c r="D200" s="111"/>
      <c r="E200" s="112"/>
      <c r="F200" s="112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108"/>
      <c r="S200" s="85"/>
      <c r="T200" s="81"/>
      <c r="U200" s="81"/>
      <c r="V200" s="81"/>
      <c r="W200" s="13"/>
      <c r="X200" s="13"/>
      <c r="Y200" s="13"/>
      <c r="BG200" s="14"/>
    </row>
    <row r="201" spans="2:59" ht="12.75">
      <c r="B201" s="109"/>
      <c r="C201" s="110"/>
      <c r="D201" s="111"/>
      <c r="E201" s="112"/>
      <c r="F201" s="112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108"/>
      <c r="S201" s="85"/>
      <c r="T201" s="81"/>
      <c r="U201" s="81"/>
      <c r="V201" s="81"/>
      <c r="W201" s="13"/>
      <c r="X201" s="13"/>
      <c r="Y201" s="13"/>
      <c r="BG201" s="14"/>
    </row>
    <row r="202" spans="2:59" ht="12.75">
      <c r="B202" s="109"/>
      <c r="C202" s="110"/>
      <c r="D202" s="111"/>
      <c r="E202" s="112"/>
      <c r="F202" s="112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108"/>
      <c r="S202" s="85"/>
      <c r="T202" s="81"/>
      <c r="U202" s="81"/>
      <c r="V202" s="81"/>
      <c r="W202" s="13"/>
      <c r="X202" s="13"/>
      <c r="Y202" s="13"/>
      <c r="BG202" s="14"/>
    </row>
    <row r="203" spans="2:59" ht="12.75">
      <c r="B203" s="109"/>
      <c r="C203" s="110"/>
      <c r="D203" s="111"/>
      <c r="E203" s="112"/>
      <c r="F203" s="112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108"/>
      <c r="S203" s="85"/>
      <c r="T203" s="81"/>
      <c r="U203" s="81"/>
      <c r="V203" s="81"/>
      <c r="W203" s="13"/>
      <c r="X203" s="13"/>
      <c r="Y203" s="13"/>
      <c r="BG203" s="14"/>
    </row>
    <row r="204" spans="2:59" ht="12.75">
      <c r="B204" s="109"/>
      <c r="C204" s="110"/>
      <c r="D204" s="111"/>
      <c r="E204" s="112"/>
      <c r="F204" s="112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108"/>
      <c r="S204" s="85"/>
      <c r="T204" s="81"/>
      <c r="U204" s="81"/>
      <c r="V204" s="81"/>
      <c r="W204" s="13"/>
      <c r="X204" s="13"/>
      <c r="Y204" s="13"/>
      <c r="BG204" s="14"/>
    </row>
    <row r="205" spans="2:59" ht="12.75">
      <c r="B205" s="109"/>
      <c r="C205" s="110"/>
      <c r="D205" s="111"/>
      <c r="E205" s="112"/>
      <c r="F205" s="112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108"/>
      <c r="S205" s="85"/>
      <c r="T205" s="81"/>
      <c r="U205" s="81"/>
      <c r="V205" s="81"/>
      <c r="W205" s="13"/>
      <c r="X205" s="13"/>
      <c r="Y205" s="13"/>
      <c r="BG205" s="14"/>
    </row>
    <row r="206" spans="2:59" ht="12.75">
      <c r="B206" s="109"/>
      <c r="C206" s="110"/>
      <c r="D206" s="111"/>
      <c r="E206" s="112"/>
      <c r="F206" s="112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108"/>
      <c r="S206" s="85"/>
      <c r="T206" s="81"/>
      <c r="U206" s="81"/>
      <c r="V206" s="81"/>
      <c r="W206" s="13"/>
      <c r="X206" s="13"/>
      <c r="Y206" s="13"/>
      <c r="BG206" s="14"/>
    </row>
    <row r="207" spans="2:59" ht="12.75">
      <c r="B207" s="109"/>
      <c r="C207" s="110"/>
      <c r="D207" s="111"/>
      <c r="E207" s="112"/>
      <c r="F207" s="112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108"/>
      <c r="S207" s="85"/>
      <c r="T207" s="81"/>
      <c r="U207" s="81"/>
      <c r="V207" s="81"/>
      <c r="W207" s="13"/>
      <c r="X207" s="13"/>
      <c r="Y207" s="13"/>
      <c r="BG207" s="14"/>
    </row>
    <row r="208" spans="2:59" ht="12.75">
      <c r="B208" s="109"/>
      <c r="C208" s="110"/>
      <c r="D208" s="111"/>
      <c r="E208" s="112"/>
      <c r="F208" s="112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108"/>
      <c r="S208" s="85"/>
      <c r="T208" s="81"/>
      <c r="U208" s="81"/>
      <c r="V208" s="81"/>
      <c r="W208" s="13"/>
      <c r="X208" s="13"/>
      <c r="Y208" s="13"/>
      <c r="BG208" s="14"/>
    </row>
    <row r="209" spans="2:59" ht="12.75">
      <c r="B209" s="109"/>
      <c r="C209" s="110"/>
      <c r="D209" s="111"/>
      <c r="E209" s="112"/>
      <c r="F209" s="112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108"/>
      <c r="S209" s="85"/>
      <c r="T209" s="81"/>
      <c r="U209" s="81"/>
      <c r="V209" s="81"/>
      <c r="W209" s="13"/>
      <c r="X209" s="13"/>
      <c r="Y209" s="13"/>
      <c r="BG209" s="14"/>
    </row>
    <row r="210" spans="2:59" ht="12.75">
      <c r="B210" s="109"/>
      <c r="C210" s="110"/>
      <c r="D210" s="111"/>
      <c r="E210" s="112"/>
      <c r="F210" s="112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108"/>
      <c r="S210" s="85"/>
      <c r="T210" s="81"/>
      <c r="U210" s="81"/>
      <c r="V210" s="81"/>
      <c r="W210" s="13"/>
      <c r="X210" s="13"/>
      <c r="Y210" s="13"/>
      <c r="BG210" s="14"/>
    </row>
    <row r="211" spans="2:59" ht="12.75">
      <c r="B211" s="109"/>
      <c r="C211" s="110"/>
      <c r="D211" s="111"/>
      <c r="E211" s="112"/>
      <c r="F211" s="112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108"/>
      <c r="S211" s="85"/>
      <c r="T211" s="81"/>
      <c r="U211" s="81"/>
      <c r="V211" s="81"/>
      <c r="W211" s="13"/>
      <c r="X211" s="13"/>
      <c r="Y211" s="13"/>
      <c r="BG211" s="14"/>
    </row>
    <row r="212" spans="2:59" ht="12.75">
      <c r="B212" s="109"/>
      <c r="C212" s="110"/>
      <c r="D212" s="111"/>
      <c r="E212" s="112"/>
      <c r="F212" s="112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108"/>
      <c r="S212" s="85"/>
      <c r="T212" s="81"/>
      <c r="U212" s="81"/>
      <c r="V212" s="81"/>
      <c r="W212" s="13"/>
      <c r="X212" s="13"/>
      <c r="Y212" s="13"/>
      <c r="BG212" s="14"/>
    </row>
    <row r="213" spans="2:59" ht="12.75">
      <c r="B213" s="109"/>
      <c r="C213" s="110"/>
      <c r="D213" s="111"/>
      <c r="E213" s="112"/>
      <c r="F213" s="112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108"/>
      <c r="S213" s="85"/>
      <c r="T213" s="81"/>
      <c r="U213" s="81"/>
      <c r="V213" s="81"/>
      <c r="W213" s="13"/>
      <c r="X213" s="13"/>
      <c r="Y213" s="13"/>
      <c r="BG213" s="14"/>
    </row>
    <row r="214" spans="2:59" ht="12.75">
      <c r="B214" s="109"/>
      <c r="C214" s="110"/>
      <c r="D214" s="111"/>
      <c r="E214" s="112"/>
      <c r="F214" s="112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108"/>
      <c r="S214" s="85"/>
      <c r="T214" s="81"/>
      <c r="U214" s="81"/>
      <c r="V214" s="81"/>
      <c r="W214" s="13"/>
      <c r="X214" s="13"/>
      <c r="Y214" s="13"/>
      <c r="BG214" s="14"/>
    </row>
    <row r="215" spans="2:59" ht="12.75">
      <c r="B215" s="109"/>
      <c r="C215" s="110"/>
      <c r="D215" s="111"/>
      <c r="E215" s="112"/>
      <c r="F215" s="112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108"/>
      <c r="S215" s="85"/>
      <c r="T215" s="81"/>
      <c r="U215" s="81"/>
      <c r="V215" s="81"/>
      <c r="W215" s="13"/>
      <c r="X215" s="13"/>
      <c r="Y215" s="13"/>
      <c r="BG215" s="14"/>
    </row>
    <row r="216" spans="2:59" ht="12.75">
      <c r="B216" s="109"/>
      <c r="C216" s="110"/>
      <c r="D216" s="111"/>
      <c r="E216" s="112"/>
      <c r="F216" s="112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108"/>
      <c r="S216" s="85"/>
      <c r="T216" s="81"/>
      <c r="U216" s="81"/>
      <c r="V216" s="81"/>
      <c r="W216" s="13"/>
      <c r="X216" s="13"/>
      <c r="Y216" s="13"/>
      <c r="BG216" s="14"/>
    </row>
    <row r="217" spans="2:59" ht="12.75">
      <c r="B217" s="109"/>
      <c r="C217" s="110"/>
      <c r="D217" s="111"/>
      <c r="E217" s="112"/>
      <c r="F217" s="112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108"/>
      <c r="S217" s="85"/>
      <c r="T217" s="81"/>
      <c r="U217" s="81"/>
      <c r="V217" s="81"/>
      <c r="W217" s="13"/>
      <c r="X217" s="13"/>
      <c r="Y217" s="13"/>
      <c r="BG217" s="14"/>
    </row>
    <row r="218" spans="2:59" ht="12.75">
      <c r="B218" s="109"/>
      <c r="C218" s="110"/>
      <c r="D218" s="111"/>
      <c r="E218" s="112"/>
      <c r="F218" s="112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108"/>
      <c r="S218" s="85"/>
      <c r="T218" s="81"/>
      <c r="U218" s="81"/>
      <c r="V218" s="81"/>
      <c r="W218" s="13"/>
      <c r="X218" s="13"/>
      <c r="Y218" s="13"/>
      <c r="BG218" s="14"/>
    </row>
    <row r="219" spans="2:59" ht="12.75">
      <c r="B219" s="109"/>
      <c r="C219" s="110"/>
      <c r="D219" s="111"/>
      <c r="E219" s="112"/>
      <c r="F219" s="112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108"/>
      <c r="S219" s="85"/>
      <c r="T219" s="81"/>
      <c r="U219" s="81"/>
      <c r="V219" s="81"/>
      <c r="W219" s="13"/>
      <c r="X219" s="13"/>
      <c r="Y219" s="13"/>
      <c r="BG219" s="14"/>
    </row>
    <row r="220" spans="2:59" ht="12.75">
      <c r="B220" s="109"/>
      <c r="C220" s="110"/>
      <c r="D220" s="111"/>
      <c r="E220" s="112"/>
      <c r="F220" s="112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108"/>
      <c r="S220" s="85"/>
      <c r="T220" s="81"/>
      <c r="U220" s="81"/>
      <c r="V220" s="81"/>
      <c r="W220" s="13"/>
      <c r="X220" s="13"/>
      <c r="Y220" s="13"/>
      <c r="BG220" s="14"/>
    </row>
    <row r="221" spans="2:59" ht="12.75">
      <c r="B221" s="109"/>
      <c r="C221" s="110"/>
      <c r="D221" s="111"/>
      <c r="E221" s="112"/>
      <c r="F221" s="112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108"/>
      <c r="S221" s="85"/>
      <c r="T221" s="81"/>
      <c r="U221" s="81"/>
      <c r="V221" s="81"/>
      <c r="W221" s="13"/>
      <c r="X221" s="13"/>
      <c r="Y221" s="13"/>
      <c r="BG221" s="14"/>
    </row>
    <row r="222" spans="2:59" ht="12.75">
      <c r="B222" s="109"/>
      <c r="C222" s="110"/>
      <c r="D222" s="111"/>
      <c r="E222" s="112"/>
      <c r="F222" s="112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108"/>
      <c r="S222" s="85"/>
      <c r="T222" s="81"/>
      <c r="U222" s="81"/>
      <c r="V222" s="81"/>
      <c r="W222" s="13"/>
      <c r="X222" s="13"/>
      <c r="Y222" s="13"/>
      <c r="BG222" s="14"/>
    </row>
    <row r="223" spans="2:59" ht="12.75">
      <c r="B223" s="109"/>
      <c r="C223" s="110"/>
      <c r="D223" s="111"/>
      <c r="E223" s="112"/>
      <c r="F223" s="112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108"/>
      <c r="S223" s="85"/>
      <c r="T223" s="81"/>
      <c r="U223" s="81"/>
      <c r="V223" s="81"/>
      <c r="W223" s="13"/>
      <c r="X223" s="13"/>
      <c r="Y223" s="13"/>
      <c r="BG223" s="14"/>
    </row>
    <row r="224" spans="2:59" ht="12.75">
      <c r="B224" s="109"/>
      <c r="C224" s="110"/>
      <c r="D224" s="111"/>
      <c r="E224" s="112"/>
      <c r="F224" s="112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108"/>
      <c r="S224" s="85"/>
      <c r="T224" s="81"/>
      <c r="U224" s="81"/>
      <c r="V224" s="81"/>
      <c r="W224" s="13"/>
      <c r="X224" s="13"/>
      <c r="Y224" s="13"/>
      <c r="BG224" s="14"/>
    </row>
    <row r="225" spans="2:59" ht="12.75">
      <c r="B225" s="109"/>
      <c r="C225" s="110"/>
      <c r="D225" s="111"/>
      <c r="E225" s="112"/>
      <c r="F225" s="112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108"/>
      <c r="S225" s="85"/>
      <c r="T225" s="81"/>
      <c r="U225" s="81"/>
      <c r="V225" s="81"/>
      <c r="W225" s="13"/>
      <c r="X225" s="13"/>
      <c r="Y225" s="13"/>
      <c r="BG225" s="14"/>
    </row>
    <row r="226" spans="2:59" ht="12.75">
      <c r="B226" s="109"/>
      <c r="C226" s="110"/>
      <c r="D226" s="111"/>
      <c r="E226" s="112"/>
      <c r="F226" s="112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108"/>
      <c r="S226" s="85"/>
      <c r="T226" s="81"/>
      <c r="U226" s="81"/>
      <c r="V226" s="81"/>
      <c r="W226" s="13"/>
      <c r="X226" s="13"/>
      <c r="Y226" s="13"/>
      <c r="BG226" s="14"/>
    </row>
    <row r="227" spans="2:59" ht="12.75">
      <c r="B227" s="109"/>
      <c r="C227" s="110"/>
      <c r="D227" s="111"/>
      <c r="E227" s="112"/>
      <c r="F227" s="112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108"/>
      <c r="S227" s="85"/>
      <c r="T227" s="81"/>
      <c r="U227" s="81"/>
      <c r="V227" s="81"/>
      <c r="W227" s="13"/>
      <c r="X227" s="13"/>
      <c r="Y227" s="13"/>
      <c r="BG227" s="14"/>
    </row>
    <row r="228" spans="2:59" ht="12.75">
      <c r="B228" s="109"/>
      <c r="C228" s="110"/>
      <c r="D228" s="111"/>
      <c r="E228" s="112"/>
      <c r="F228" s="112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108"/>
      <c r="S228" s="85"/>
      <c r="T228" s="81"/>
      <c r="U228" s="81"/>
      <c r="V228" s="81"/>
      <c r="W228" s="13"/>
      <c r="X228" s="13"/>
      <c r="Y228" s="13"/>
      <c r="BG228" s="14"/>
    </row>
    <row r="229" spans="2:59" ht="12.75">
      <c r="B229" s="109"/>
      <c r="C229" s="110"/>
      <c r="D229" s="111"/>
      <c r="E229" s="112"/>
      <c r="F229" s="112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108"/>
      <c r="S229" s="85"/>
      <c r="T229" s="81"/>
      <c r="U229" s="81"/>
      <c r="V229" s="81"/>
      <c r="W229" s="13"/>
      <c r="X229" s="13"/>
      <c r="Y229" s="13"/>
      <c r="BG229" s="14"/>
    </row>
    <row r="230" spans="2:59" ht="12.75">
      <c r="B230" s="109"/>
      <c r="C230" s="110"/>
      <c r="D230" s="111"/>
      <c r="E230" s="112"/>
      <c r="F230" s="112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108"/>
      <c r="S230" s="85"/>
      <c r="T230" s="81"/>
      <c r="U230" s="81"/>
      <c r="V230" s="81"/>
      <c r="W230" s="13"/>
      <c r="X230" s="13"/>
      <c r="Y230" s="13"/>
      <c r="BG230" s="14"/>
    </row>
    <row r="231" spans="2:59" ht="12.75">
      <c r="B231" s="109"/>
      <c r="C231" s="110"/>
      <c r="D231" s="111"/>
      <c r="E231" s="112"/>
      <c r="F231" s="112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108"/>
      <c r="S231" s="85"/>
      <c r="T231" s="81"/>
      <c r="U231" s="81"/>
      <c r="V231" s="81"/>
      <c r="W231" s="13"/>
      <c r="X231" s="13"/>
      <c r="Y231" s="13"/>
      <c r="BG231" s="14"/>
    </row>
    <row r="232" spans="2:59" ht="12.75">
      <c r="B232" s="109"/>
      <c r="C232" s="110"/>
      <c r="D232" s="111"/>
      <c r="E232" s="112"/>
      <c r="F232" s="112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108"/>
      <c r="S232" s="85"/>
      <c r="T232" s="81"/>
      <c r="U232" s="81"/>
      <c r="V232" s="81"/>
      <c r="W232" s="13"/>
      <c r="X232" s="13"/>
      <c r="Y232" s="13"/>
      <c r="BG232" s="14"/>
    </row>
    <row r="233" spans="2:59" ht="12.75">
      <c r="B233" s="109"/>
      <c r="C233" s="110"/>
      <c r="D233" s="111"/>
      <c r="E233" s="112"/>
      <c r="F233" s="112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108"/>
      <c r="S233" s="85"/>
      <c r="T233" s="81"/>
      <c r="U233" s="81"/>
      <c r="V233" s="81"/>
      <c r="W233" s="13"/>
      <c r="X233" s="13"/>
      <c r="Y233" s="13"/>
      <c r="BG233" s="14"/>
    </row>
    <row r="234" spans="2:59" ht="12.75">
      <c r="B234" s="109"/>
      <c r="C234" s="110"/>
      <c r="D234" s="111"/>
      <c r="E234" s="112"/>
      <c r="F234" s="112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108"/>
      <c r="S234" s="85"/>
      <c r="T234" s="81"/>
      <c r="U234" s="81"/>
      <c r="V234" s="81"/>
      <c r="W234" s="13"/>
      <c r="X234" s="13"/>
      <c r="Y234" s="13"/>
      <c r="BG234" s="14"/>
    </row>
    <row r="235" spans="2:59" ht="12.75">
      <c r="B235" s="109"/>
      <c r="C235" s="110"/>
      <c r="D235" s="111"/>
      <c r="E235" s="112"/>
      <c r="F235" s="112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108"/>
      <c r="S235" s="85"/>
      <c r="T235" s="81"/>
      <c r="U235" s="81"/>
      <c r="V235" s="81"/>
      <c r="W235" s="13"/>
      <c r="X235" s="13"/>
      <c r="Y235" s="13"/>
      <c r="BG235" s="14"/>
    </row>
    <row r="236" spans="2:59" ht="12.75">
      <c r="B236" s="109"/>
      <c r="C236" s="110"/>
      <c r="D236" s="111"/>
      <c r="E236" s="112"/>
      <c r="F236" s="112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108"/>
      <c r="S236" s="85"/>
      <c r="T236" s="81"/>
      <c r="U236" s="81"/>
      <c r="V236" s="81"/>
      <c r="W236" s="13"/>
      <c r="X236" s="13"/>
      <c r="Y236" s="13"/>
      <c r="BG236" s="14"/>
    </row>
    <row r="237" spans="2:59" ht="12.75">
      <c r="B237" s="109"/>
      <c r="C237" s="110"/>
      <c r="D237" s="111"/>
      <c r="E237" s="112"/>
      <c r="F237" s="112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108"/>
      <c r="S237" s="85"/>
      <c r="T237" s="81"/>
      <c r="U237" s="81"/>
      <c r="V237" s="81"/>
      <c r="W237" s="13"/>
      <c r="X237" s="13"/>
      <c r="Y237" s="13"/>
      <c r="BG237" s="14"/>
    </row>
    <row r="238" spans="2:59" ht="12.75">
      <c r="B238" s="109"/>
      <c r="C238" s="110"/>
      <c r="D238" s="111"/>
      <c r="E238" s="112"/>
      <c r="F238" s="112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108"/>
      <c r="S238" s="85"/>
      <c r="T238" s="81"/>
      <c r="U238" s="81"/>
      <c r="V238" s="81"/>
      <c r="W238" s="13"/>
      <c r="X238" s="13"/>
      <c r="Y238" s="13"/>
      <c r="BG238" s="14"/>
    </row>
    <row r="239" spans="2:59" ht="12.75">
      <c r="B239" s="109"/>
      <c r="C239" s="110"/>
      <c r="D239" s="111"/>
      <c r="E239" s="112"/>
      <c r="F239" s="112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108"/>
      <c r="S239" s="85"/>
      <c r="T239" s="81"/>
      <c r="U239" s="81"/>
      <c r="V239" s="81"/>
      <c r="W239" s="13"/>
      <c r="X239" s="13"/>
      <c r="Y239" s="13"/>
      <c r="BG239" s="14"/>
    </row>
    <row r="240" spans="2:59" ht="12.75">
      <c r="B240" s="109"/>
      <c r="C240" s="110"/>
      <c r="D240" s="111"/>
      <c r="E240" s="112"/>
      <c r="F240" s="112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108"/>
      <c r="S240" s="85"/>
      <c r="T240" s="81"/>
      <c r="U240" s="81"/>
      <c r="V240" s="81"/>
      <c r="W240" s="13"/>
      <c r="X240" s="13"/>
      <c r="Y240" s="13"/>
      <c r="BG240" s="14"/>
    </row>
    <row r="241" spans="2:59" ht="12.75">
      <c r="B241" s="109"/>
      <c r="C241" s="110"/>
      <c r="D241" s="111"/>
      <c r="E241" s="112"/>
      <c r="F241" s="112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108"/>
      <c r="S241" s="85"/>
      <c r="T241" s="81"/>
      <c r="U241" s="81"/>
      <c r="V241" s="81"/>
      <c r="W241" s="13"/>
      <c r="X241" s="13"/>
      <c r="Y241" s="13"/>
      <c r="BG241" s="14"/>
    </row>
    <row r="242" spans="2:59" ht="12.75">
      <c r="B242" s="109"/>
      <c r="C242" s="110"/>
      <c r="D242" s="111"/>
      <c r="E242" s="112"/>
      <c r="F242" s="112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108"/>
      <c r="S242" s="85"/>
      <c r="T242" s="81"/>
      <c r="U242" s="81"/>
      <c r="V242" s="81"/>
      <c r="W242" s="13"/>
      <c r="X242" s="13"/>
      <c r="Y242" s="13"/>
      <c r="BG242" s="14"/>
    </row>
    <row r="243" spans="2:59" ht="12.75">
      <c r="B243" s="109"/>
      <c r="C243" s="110"/>
      <c r="D243" s="111"/>
      <c r="E243" s="112"/>
      <c r="F243" s="112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108"/>
      <c r="S243" s="85"/>
      <c r="T243" s="81"/>
      <c r="U243" s="81"/>
      <c r="V243" s="81"/>
      <c r="W243" s="13"/>
      <c r="X243" s="13"/>
      <c r="Y243" s="13"/>
      <c r="BG243" s="14"/>
    </row>
    <row r="244" spans="2:59" ht="12.75">
      <c r="B244" s="109"/>
      <c r="C244" s="110"/>
      <c r="D244" s="111"/>
      <c r="E244" s="112"/>
      <c r="F244" s="112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108"/>
      <c r="S244" s="85"/>
      <c r="T244" s="81"/>
      <c r="U244" s="81"/>
      <c r="V244" s="81"/>
      <c r="W244" s="13"/>
      <c r="X244" s="13"/>
      <c r="Y244" s="13"/>
      <c r="BG244" s="14"/>
    </row>
    <row r="245" spans="2:59" ht="12.75">
      <c r="B245" s="109"/>
      <c r="C245" s="110"/>
      <c r="D245" s="111"/>
      <c r="E245" s="112"/>
      <c r="F245" s="112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108"/>
      <c r="S245" s="85"/>
      <c r="T245" s="81"/>
      <c r="U245" s="81"/>
      <c r="V245" s="81"/>
      <c r="W245" s="13"/>
      <c r="X245" s="13"/>
      <c r="Y245" s="13"/>
      <c r="BG245" s="14"/>
    </row>
    <row r="246" spans="2:59" ht="12.75">
      <c r="B246" s="109"/>
      <c r="C246" s="110"/>
      <c r="D246" s="111"/>
      <c r="E246" s="112"/>
      <c r="F246" s="112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108"/>
      <c r="S246" s="85"/>
      <c r="T246" s="81"/>
      <c r="U246" s="81"/>
      <c r="V246" s="81"/>
      <c r="W246" s="13"/>
      <c r="X246" s="13"/>
      <c r="Y246" s="13"/>
      <c r="BG246" s="14"/>
    </row>
    <row r="247" spans="2:59" ht="12.75">
      <c r="B247" s="109"/>
      <c r="C247" s="110"/>
      <c r="D247" s="111"/>
      <c r="E247" s="112"/>
      <c r="F247" s="112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108"/>
      <c r="S247" s="85"/>
      <c r="T247" s="81"/>
      <c r="U247" s="81"/>
      <c r="V247" s="81"/>
      <c r="W247" s="13"/>
      <c r="X247" s="13"/>
      <c r="Y247" s="13"/>
      <c r="BG247" s="14"/>
    </row>
    <row r="248" spans="2:59" ht="12.75">
      <c r="B248" s="109"/>
      <c r="C248" s="110"/>
      <c r="D248" s="111"/>
      <c r="E248" s="112"/>
      <c r="F248" s="112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108"/>
      <c r="S248" s="85"/>
      <c r="T248" s="81"/>
      <c r="U248" s="81"/>
      <c r="V248" s="81"/>
      <c r="W248" s="13"/>
      <c r="X248" s="13"/>
      <c r="Y248" s="13"/>
      <c r="BG248" s="14"/>
    </row>
    <row r="249" spans="2:59" ht="12.75">
      <c r="B249" s="109"/>
      <c r="C249" s="110"/>
      <c r="D249" s="111"/>
      <c r="E249" s="112"/>
      <c r="F249" s="112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108"/>
      <c r="S249" s="85"/>
      <c r="T249" s="81"/>
      <c r="U249" s="81"/>
      <c r="V249" s="81"/>
      <c r="W249" s="13"/>
      <c r="X249" s="13"/>
      <c r="Y249" s="13"/>
      <c r="BG249" s="14"/>
    </row>
    <row r="250" spans="2:59" ht="12.75">
      <c r="B250" s="109"/>
      <c r="C250" s="110"/>
      <c r="D250" s="111"/>
      <c r="E250" s="112"/>
      <c r="F250" s="112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108"/>
      <c r="S250" s="85"/>
      <c r="T250" s="81"/>
      <c r="U250" s="81"/>
      <c r="V250" s="81"/>
      <c r="W250" s="13"/>
      <c r="X250" s="13"/>
      <c r="Y250" s="13"/>
      <c r="BG250" s="14"/>
    </row>
    <row r="251" spans="2:59" ht="12.75">
      <c r="B251" s="109"/>
      <c r="C251" s="110"/>
      <c r="D251" s="111"/>
      <c r="E251" s="112"/>
      <c r="F251" s="112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108"/>
      <c r="S251" s="85"/>
      <c r="T251" s="81"/>
      <c r="U251" s="81"/>
      <c r="V251" s="81"/>
      <c r="W251" s="13"/>
      <c r="X251" s="13"/>
      <c r="Y251" s="13"/>
      <c r="BG251" s="14"/>
    </row>
    <row r="252" spans="2:59" ht="12.75">
      <c r="B252" s="109"/>
      <c r="C252" s="110"/>
      <c r="D252" s="111"/>
      <c r="E252" s="112"/>
      <c r="F252" s="112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108"/>
      <c r="S252" s="85"/>
      <c r="T252" s="81"/>
      <c r="U252" s="81"/>
      <c r="V252" s="81"/>
      <c r="W252" s="13"/>
      <c r="X252" s="13"/>
      <c r="Y252" s="13"/>
      <c r="BG252" s="14"/>
    </row>
    <row r="253" spans="2:59" ht="12.75">
      <c r="B253" s="109"/>
      <c r="C253" s="110"/>
      <c r="D253" s="111"/>
      <c r="E253" s="112"/>
      <c r="F253" s="112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108"/>
      <c r="S253" s="85"/>
      <c r="T253" s="81"/>
      <c r="U253" s="81"/>
      <c r="V253" s="81"/>
      <c r="W253" s="13"/>
      <c r="X253" s="13"/>
      <c r="Y253" s="13"/>
      <c r="BG253" s="14"/>
    </row>
    <row r="254" spans="2:59" ht="12.75">
      <c r="B254" s="109"/>
      <c r="C254" s="110"/>
      <c r="D254" s="111"/>
      <c r="E254" s="112"/>
      <c r="F254" s="112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108"/>
      <c r="S254" s="85"/>
      <c r="T254" s="81"/>
      <c r="U254" s="81"/>
      <c r="V254" s="81"/>
      <c r="W254" s="13"/>
      <c r="X254" s="13"/>
      <c r="Y254" s="13"/>
      <c r="BG254" s="14"/>
    </row>
    <row r="255" spans="2:59" ht="12.75">
      <c r="B255" s="109"/>
      <c r="C255" s="110"/>
      <c r="D255" s="111"/>
      <c r="E255" s="112"/>
      <c r="F255" s="112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108"/>
      <c r="S255" s="85"/>
      <c r="T255" s="81"/>
      <c r="U255" s="81"/>
      <c r="V255" s="81"/>
      <c r="W255" s="13"/>
      <c r="X255" s="13"/>
      <c r="Y255" s="13"/>
      <c r="BG255" s="14"/>
    </row>
    <row r="256" spans="2:59" ht="12.75">
      <c r="B256" s="109"/>
      <c r="C256" s="110"/>
      <c r="D256" s="111"/>
      <c r="E256" s="112"/>
      <c r="F256" s="112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108"/>
      <c r="S256" s="85"/>
      <c r="T256" s="81"/>
      <c r="U256" s="81"/>
      <c r="V256" s="81"/>
      <c r="W256" s="13"/>
      <c r="X256" s="13"/>
      <c r="Y256" s="13"/>
      <c r="BG256" s="14"/>
    </row>
    <row r="257" spans="2:59" ht="12.75">
      <c r="B257" s="109"/>
      <c r="C257" s="110"/>
      <c r="D257" s="111"/>
      <c r="E257" s="112"/>
      <c r="F257" s="112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108"/>
      <c r="S257" s="85"/>
      <c r="T257" s="81"/>
      <c r="U257" s="81"/>
      <c r="V257" s="81"/>
      <c r="W257" s="13"/>
      <c r="X257" s="13"/>
      <c r="Y257" s="13"/>
      <c r="BG257" s="14"/>
    </row>
    <row r="258" spans="2:59" ht="12.75">
      <c r="B258" s="109"/>
      <c r="C258" s="110"/>
      <c r="D258" s="111"/>
      <c r="E258" s="112"/>
      <c r="F258" s="112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108"/>
      <c r="S258" s="85"/>
      <c r="T258" s="81"/>
      <c r="U258" s="81"/>
      <c r="V258" s="81"/>
      <c r="W258" s="13"/>
      <c r="X258" s="13"/>
      <c r="Y258" s="13"/>
      <c r="BG258" s="14"/>
    </row>
    <row r="259" spans="2:59" ht="12.75">
      <c r="B259" s="109"/>
      <c r="C259" s="110"/>
      <c r="D259" s="111"/>
      <c r="E259" s="112"/>
      <c r="F259" s="112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108"/>
      <c r="S259" s="85"/>
      <c r="T259" s="81"/>
      <c r="U259" s="81"/>
      <c r="V259" s="81"/>
      <c r="W259" s="13"/>
      <c r="X259" s="13"/>
      <c r="Y259" s="13"/>
      <c r="BG259" s="14"/>
    </row>
    <row r="260" spans="2:59" ht="12.75">
      <c r="B260" s="109"/>
      <c r="C260" s="110"/>
      <c r="D260" s="111"/>
      <c r="E260" s="112"/>
      <c r="F260" s="112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108"/>
      <c r="S260" s="85"/>
      <c r="T260" s="81"/>
      <c r="U260" s="81"/>
      <c r="V260" s="81"/>
      <c r="W260" s="13"/>
      <c r="X260" s="13"/>
      <c r="Y260" s="13"/>
      <c r="BG260" s="14"/>
    </row>
    <row r="261" spans="2:59" ht="12.75">
      <c r="B261" s="109"/>
      <c r="C261" s="110"/>
      <c r="D261" s="111"/>
      <c r="E261" s="112"/>
      <c r="F261" s="112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108"/>
      <c r="S261" s="85"/>
      <c r="T261" s="81"/>
      <c r="U261" s="81"/>
      <c r="V261" s="81"/>
      <c r="W261" s="13"/>
      <c r="X261" s="13"/>
      <c r="Y261" s="13"/>
      <c r="BG261" s="14"/>
    </row>
    <row r="262" spans="2:59" ht="12.75">
      <c r="B262" s="109"/>
      <c r="C262" s="110"/>
      <c r="D262" s="111"/>
      <c r="E262" s="112"/>
      <c r="F262" s="112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108"/>
      <c r="S262" s="85"/>
      <c r="T262" s="81"/>
      <c r="U262" s="81"/>
      <c r="V262" s="81"/>
      <c r="W262" s="13"/>
      <c r="X262" s="13"/>
      <c r="Y262" s="13"/>
      <c r="BG262" s="14"/>
    </row>
    <row r="263" spans="2:59" ht="12.75">
      <c r="B263" s="109"/>
      <c r="C263" s="110"/>
      <c r="D263" s="111"/>
      <c r="E263" s="112"/>
      <c r="F263" s="112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108"/>
      <c r="S263" s="85"/>
      <c r="T263" s="81"/>
      <c r="U263" s="81"/>
      <c r="V263" s="81"/>
      <c r="W263" s="13"/>
      <c r="X263" s="13"/>
      <c r="Y263" s="13"/>
      <c r="BG263" s="14"/>
    </row>
    <row r="264" spans="2:59" ht="12.75">
      <c r="B264" s="109"/>
      <c r="C264" s="110"/>
      <c r="D264" s="111"/>
      <c r="E264" s="112"/>
      <c r="F264" s="112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108"/>
      <c r="S264" s="85"/>
      <c r="T264" s="81"/>
      <c r="U264" s="81"/>
      <c r="V264" s="81"/>
      <c r="W264" s="13"/>
      <c r="X264" s="13"/>
      <c r="Y264" s="13"/>
      <c r="BG264" s="14"/>
    </row>
    <row r="265" spans="2:59" ht="12.75">
      <c r="B265" s="109"/>
      <c r="C265" s="110"/>
      <c r="D265" s="111"/>
      <c r="E265" s="112"/>
      <c r="F265" s="112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108"/>
      <c r="S265" s="85"/>
      <c r="T265" s="81"/>
      <c r="U265" s="81"/>
      <c r="V265" s="81"/>
      <c r="W265" s="13"/>
      <c r="X265" s="13"/>
      <c r="Y265" s="13"/>
      <c r="BG265" s="14"/>
    </row>
    <row r="266" spans="2:59" ht="12.75">
      <c r="B266" s="109"/>
      <c r="C266" s="110"/>
      <c r="D266" s="111"/>
      <c r="E266" s="112"/>
      <c r="F266" s="112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108"/>
      <c r="S266" s="85"/>
      <c r="T266" s="81"/>
      <c r="U266" s="81"/>
      <c r="V266" s="81"/>
      <c r="W266" s="13"/>
      <c r="X266" s="13"/>
      <c r="Y266" s="13"/>
      <c r="BG266" s="14"/>
    </row>
    <row r="267" spans="2:59" ht="12.75">
      <c r="B267" s="109"/>
      <c r="C267" s="110"/>
      <c r="D267" s="111"/>
      <c r="E267" s="112"/>
      <c r="F267" s="112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108"/>
      <c r="S267" s="85"/>
      <c r="T267" s="81"/>
      <c r="U267" s="81"/>
      <c r="V267" s="81"/>
      <c r="W267" s="13"/>
      <c r="X267" s="13"/>
      <c r="Y267" s="13"/>
      <c r="BG267" s="14"/>
    </row>
    <row r="268" spans="2:59" ht="12.75">
      <c r="B268" s="109"/>
      <c r="C268" s="110"/>
      <c r="D268" s="111"/>
      <c r="E268" s="112"/>
      <c r="F268" s="112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108"/>
      <c r="S268" s="85"/>
      <c r="T268" s="81"/>
      <c r="U268" s="81"/>
      <c r="V268" s="81"/>
      <c r="W268" s="13"/>
      <c r="X268" s="13"/>
      <c r="Y268" s="13"/>
      <c r="BG268" s="14"/>
    </row>
    <row r="269" spans="2:59" ht="12.75">
      <c r="B269" s="109"/>
      <c r="C269" s="110"/>
      <c r="D269" s="111"/>
      <c r="E269" s="112"/>
      <c r="F269" s="112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108"/>
      <c r="S269" s="85"/>
      <c r="T269" s="81"/>
      <c r="U269" s="81"/>
      <c r="V269" s="81"/>
      <c r="W269" s="13"/>
      <c r="X269" s="13"/>
      <c r="Y269" s="13"/>
      <c r="BG269" s="14"/>
    </row>
    <row r="270" spans="2:59" ht="12.75">
      <c r="B270" s="109"/>
      <c r="C270" s="110"/>
      <c r="D270" s="111"/>
      <c r="E270" s="112"/>
      <c r="F270" s="112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108"/>
      <c r="S270" s="85"/>
      <c r="T270" s="81"/>
      <c r="U270" s="81"/>
      <c r="V270" s="81"/>
      <c r="W270" s="13"/>
      <c r="X270" s="13"/>
      <c r="Y270" s="13"/>
      <c r="BG270" s="14"/>
    </row>
    <row r="271" spans="2:59" ht="12.75">
      <c r="B271" s="109"/>
      <c r="C271" s="110"/>
      <c r="D271" s="111"/>
      <c r="E271" s="112"/>
      <c r="F271" s="112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108"/>
      <c r="S271" s="85"/>
      <c r="T271" s="81"/>
      <c r="U271" s="81"/>
      <c r="V271" s="81"/>
      <c r="W271" s="13"/>
      <c r="X271" s="13"/>
      <c r="Y271" s="13"/>
      <c r="BG271" s="14"/>
    </row>
    <row r="272" spans="2:59" ht="12.75">
      <c r="B272" s="109"/>
      <c r="C272" s="110"/>
      <c r="D272" s="111"/>
      <c r="E272" s="112"/>
      <c r="F272" s="112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108"/>
      <c r="S272" s="85"/>
      <c r="T272" s="81"/>
      <c r="U272" s="81"/>
      <c r="V272" s="81"/>
      <c r="W272" s="13"/>
      <c r="X272" s="13"/>
      <c r="Y272" s="13"/>
      <c r="BG272" s="14"/>
    </row>
    <row r="273" spans="2:59" ht="12.75">
      <c r="B273" s="109"/>
      <c r="C273" s="110"/>
      <c r="D273" s="111"/>
      <c r="E273" s="112"/>
      <c r="F273" s="112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108"/>
      <c r="S273" s="85"/>
      <c r="T273" s="81"/>
      <c r="U273" s="81"/>
      <c r="V273" s="81"/>
      <c r="W273" s="13"/>
      <c r="X273" s="13"/>
      <c r="Y273" s="13"/>
      <c r="BG273" s="14"/>
    </row>
    <row r="274" spans="2:59" ht="12.75">
      <c r="B274" s="109"/>
      <c r="C274" s="110"/>
      <c r="D274" s="111"/>
      <c r="E274" s="112"/>
      <c r="F274" s="112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108"/>
      <c r="S274" s="85"/>
      <c r="T274" s="81"/>
      <c r="U274" s="81"/>
      <c r="V274" s="81"/>
      <c r="W274" s="13"/>
      <c r="X274" s="13"/>
      <c r="Y274" s="13"/>
      <c r="BG274" s="14"/>
    </row>
    <row r="275" spans="2:59" ht="12.75">
      <c r="B275" s="109"/>
      <c r="C275" s="110"/>
      <c r="D275" s="111"/>
      <c r="E275" s="112"/>
      <c r="F275" s="112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108"/>
      <c r="S275" s="85"/>
      <c r="T275" s="81"/>
      <c r="U275" s="81"/>
      <c r="V275" s="81"/>
      <c r="W275" s="13"/>
      <c r="X275" s="13"/>
      <c r="Y275" s="13"/>
      <c r="BG275" s="14"/>
    </row>
    <row r="276" spans="2:59" ht="12.75">
      <c r="B276" s="109"/>
      <c r="C276" s="110"/>
      <c r="D276" s="111"/>
      <c r="E276" s="112"/>
      <c r="F276" s="112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108"/>
      <c r="S276" s="85"/>
      <c r="T276" s="81"/>
      <c r="U276" s="81"/>
      <c r="V276" s="81"/>
      <c r="W276" s="13"/>
      <c r="X276" s="13"/>
      <c r="Y276" s="13"/>
      <c r="BG276" s="14"/>
    </row>
    <row r="277" spans="2:59" ht="12.75">
      <c r="B277" s="109"/>
      <c r="C277" s="110"/>
      <c r="D277" s="111"/>
      <c r="E277" s="112"/>
      <c r="F277" s="112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108"/>
      <c r="S277" s="85"/>
      <c r="T277" s="81"/>
      <c r="U277" s="81"/>
      <c r="V277" s="81"/>
      <c r="W277" s="13"/>
      <c r="X277" s="13"/>
      <c r="Y277" s="13"/>
      <c r="BG277" s="14"/>
    </row>
    <row r="278" spans="2:59" ht="12.75">
      <c r="B278" s="109"/>
      <c r="C278" s="110"/>
      <c r="D278" s="111"/>
      <c r="E278" s="112"/>
      <c r="F278" s="112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108"/>
      <c r="S278" s="85"/>
      <c r="T278" s="81"/>
      <c r="U278" s="81"/>
      <c r="V278" s="81"/>
      <c r="W278" s="13"/>
      <c r="X278" s="13"/>
      <c r="Y278" s="13"/>
      <c r="BG278" s="14"/>
    </row>
    <row r="279" spans="2:59" ht="12.75">
      <c r="B279" s="109"/>
      <c r="C279" s="110"/>
      <c r="D279" s="111"/>
      <c r="E279" s="112"/>
      <c r="F279" s="112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108"/>
      <c r="S279" s="85"/>
      <c r="T279" s="81"/>
      <c r="U279" s="81"/>
      <c r="V279" s="81"/>
      <c r="W279" s="13"/>
      <c r="X279" s="13"/>
      <c r="Y279" s="13"/>
      <c r="BG279" s="14"/>
    </row>
    <row r="280" spans="2:59" ht="12.75">
      <c r="B280" s="109"/>
      <c r="C280" s="110"/>
      <c r="D280" s="111"/>
      <c r="E280" s="112"/>
      <c r="F280" s="112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108"/>
      <c r="S280" s="85"/>
      <c r="T280" s="81"/>
      <c r="U280" s="81"/>
      <c r="V280" s="81"/>
      <c r="W280" s="13"/>
      <c r="X280" s="13"/>
      <c r="Y280" s="13"/>
      <c r="BG280" s="14"/>
    </row>
    <row r="281" spans="2:59" ht="12.75">
      <c r="B281" s="109"/>
      <c r="C281" s="110"/>
      <c r="D281" s="111"/>
      <c r="E281" s="112"/>
      <c r="F281" s="112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108"/>
      <c r="S281" s="85"/>
      <c r="T281" s="81"/>
      <c r="U281" s="81"/>
      <c r="V281" s="81"/>
      <c r="W281" s="13"/>
      <c r="X281" s="13"/>
      <c r="Y281" s="13"/>
      <c r="BG281" s="14"/>
    </row>
    <row r="282" spans="2:59" ht="12.75">
      <c r="B282" s="109"/>
      <c r="C282" s="110"/>
      <c r="D282" s="111"/>
      <c r="E282" s="112"/>
      <c r="F282" s="112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108"/>
      <c r="S282" s="85"/>
      <c r="T282" s="81"/>
      <c r="U282" s="81"/>
      <c r="V282" s="81"/>
      <c r="W282" s="13"/>
      <c r="X282" s="13"/>
      <c r="Y282" s="13"/>
      <c r="BG282" s="14"/>
    </row>
    <row r="283" spans="2:59" ht="12.75">
      <c r="B283" s="109"/>
      <c r="C283" s="110"/>
      <c r="D283" s="111"/>
      <c r="E283" s="112"/>
      <c r="F283" s="112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108"/>
      <c r="S283" s="85"/>
      <c r="T283" s="81"/>
      <c r="U283" s="81"/>
      <c r="V283" s="81"/>
      <c r="W283" s="13"/>
      <c r="X283" s="13"/>
      <c r="Y283" s="13"/>
      <c r="BG283" s="14"/>
    </row>
    <row r="284" spans="2:59" ht="12.75">
      <c r="B284" s="109"/>
      <c r="C284" s="110"/>
      <c r="D284" s="111"/>
      <c r="E284" s="112"/>
      <c r="F284" s="112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108"/>
      <c r="S284" s="85"/>
      <c r="T284" s="81"/>
      <c r="U284" s="81"/>
      <c r="V284" s="81"/>
      <c r="W284" s="13"/>
      <c r="X284" s="13"/>
      <c r="Y284" s="13"/>
      <c r="BG284" s="14"/>
    </row>
    <row r="285" spans="2:59" ht="12.75">
      <c r="B285" s="109"/>
      <c r="C285" s="110"/>
      <c r="D285" s="111"/>
      <c r="E285" s="112"/>
      <c r="F285" s="112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108"/>
      <c r="S285" s="85"/>
      <c r="T285" s="81"/>
      <c r="U285" s="81"/>
      <c r="V285" s="81"/>
      <c r="W285" s="13"/>
      <c r="X285" s="13"/>
      <c r="Y285" s="13"/>
      <c r="BG285" s="14"/>
    </row>
    <row r="286" spans="2:59" ht="12.75">
      <c r="B286" s="109"/>
      <c r="C286" s="110"/>
      <c r="D286" s="111"/>
      <c r="E286" s="112"/>
      <c r="F286" s="112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108"/>
      <c r="S286" s="85"/>
      <c r="T286" s="81"/>
      <c r="U286" s="81"/>
      <c r="V286" s="81"/>
      <c r="W286" s="13"/>
      <c r="X286" s="13"/>
      <c r="Y286" s="13"/>
      <c r="BG286" s="14"/>
    </row>
    <row r="287" spans="2:59" ht="12.75">
      <c r="B287" s="109"/>
      <c r="C287" s="110"/>
      <c r="D287" s="111"/>
      <c r="E287" s="112"/>
      <c r="F287" s="112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108"/>
      <c r="S287" s="85"/>
      <c r="T287" s="81"/>
      <c r="U287" s="81"/>
      <c r="V287" s="81"/>
      <c r="W287" s="13"/>
      <c r="X287" s="13"/>
      <c r="Y287" s="13"/>
      <c r="BG287" s="14"/>
    </row>
    <row r="288" spans="2:59" ht="12.75">
      <c r="B288" s="109"/>
      <c r="C288" s="110"/>
      <c r="D288" s="111"/>
      <c r="E288" s="112"/>
      <c r="F288" s="112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108"/>
      <c r="S288" s="85"/>
      <c r="T288" s="81"/>
      <c r="U288" s="81"/>
      <c r="V288" s="81"/>
      <c r="W288" s="13"/>
      <c r="X288" s="13"/>
      <c r="Y288" s="13"/>
      <c r="BG288" s="14"/>
    </row>
    <row r="289" spans="2:59" ht="12.75">
      <c r="B289" s="109"/>
      <c r="C289" s="110"/>
      <c r="D289" s="111"/>
      <c r="E289" s="112"/>
      <c r="F289" s="112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108"/>
      <c r="S289" s="85"/>
      <c r="T289" s="81"/>
      <c r="U289" s="81"/>
      <c r="V289" s="81"/>
      <c r="W289" s="13"/>
      <c r="X289" s="13"/>
      <c r="Y289" s="13"/>
      <c r="BG289" s="14"/>
    </row>
    <row r="290" spans="2:59" ht="12.75">
      <c r="B290" s="109"/>
      <c r="C290" s="110"/>
      <c r="D290" s="111"/>
      <c r="E290" s="112"/>
      <c r="F290" s="112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108"/>
      <c r="S290" s="85"/>
      <c r="T290" s="81"/>
      <c r="U290" s="81"/>
      <c r="V290" s="81"/>
      <c r="W290" s="13"/>
      <c r="X290" s="13"/>
      <c r="Y290" s="13"/>
      <c r="BG290" s="14"/>
    </row>
    <row r="291" spans="2:59" ht="12.75">
      <c r="B291" s="109"/>
      <c r="C291" s="110"/>
      <c r="D291" s="111"/>
      <c r="E291" s="112"/>
      <c r="F291" s="112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108"/>
      <c r="S291" s="85"/>
      <c r="T291" s="81"/>
      <c r="U291" s="81"/>
      <c r="V291" s="81"/>
      <c r="W291" s="13"/>
      <c r="X291" s="13"/>
      <c r="Y291" s="13"/>
      <c r="BG291" s="14"/>
    </row>
    <row r="292" spans="2:59" ht="12.75">
      <c r="B292" s="109"/>
      <c r="C292" s="110"/>
      <c r="D292" s="111"/>
      <c r="E292" s="112"/>
      <c r="F292" s="112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108"/>
      <c r="S292" s="85"/>
      <c r="T292" s="81"/>
      <c r="U292" s="81"/>
      <c r="V292" s="81"/>
      <c r="W292" s="13"/>
      <c r="X292" s="13"/>
      <c r="Y292" s="13"/>
      <c r="BG292" s="14"/>
    </row>
    <row r="293" spans="2:59" ht="12.75">
      <c r="B293" s="109"/>
      <c r="C293" s="110"/>
      <c r="D293" s="111"/>
      <c r="E293" s="112"/>
      <c r="F293" s="112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108"/>
      <c r="S293" s="85"/>
      <c r="T293" s="81"/>
      <c r="U293" s="81"/>
      <c r="V293" s="81"/>
      <c r="W293" s="13"/>
      <c r="X293" s="13"/>
      <c r="Y293" s="13"/>
      <c r="BG293" s="14"/>
    </row>
    <row r="294" spans="2:59" ht="12.75">
      <c r="B294" s="109"/>
      <c r="C294" s="110"/>
      <c r="D294" s="111"/>
      <c r="E294" s="112"/>
      <c r="F294" s="112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108"/>
      <c r="S294" s="85"/>
      <c r="T294" s="81"/>
      <c r="U294" s="81"/>
      <c r="V294" s="81"/>
      <c r="W294" s="13"/>
      <c r="X294" s="13"/>
      <c r="Y294" s="13"/>
      <c r="BG294" s="14"/>
    </row>
    <row r="295" spans="2:59" ht="12.75">
      <c r="B295" s="109"/>
      <c r="C295" s="110"/>
      <c r="D295" s="111"/>
      <c r="E295" s="112"/>
      <c r="F295" s="112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108"/>
      <c r="S295" s="85"/>
      <c r="T295" s="81"/>
      <c r="U295" s="81"/>
      <c r="V295" s="81"/>
      <c r="W295" s="13"/>
      <c r="X295" s="13"/>
      <c r="Y295" s="13"/>
      <c r="BG295" s="14"/>
    </row>
    <row r="296" spans="2:59" ht="12.75">
      <c r="B296" s="109"/>
      <c r="C296" s="110"/>
      <c r="D296" s="111"/>
      <c r="E296" s="112"/>
      <c r="F296" s="112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108"/>
      <c r="S296" s="85"/>
      <c r="T296" s="81"/>
      <c r="U296" s="81"/>
      <c r="V296" s="81"/>
      <c r="W296" s="13"/>
      <c r="X296" s="13"/>
      <c r="Y296" s="13"/>
      <c r="BG296" s="14"/>
    </row>
    <row r="297" spans="2:59" ht="12.75">
      <c r="B297" s="109"/>
      <c r="C297" s="110"/>
      <c r="D297" s="111"/>
      <c r="E297" s="112"/>
      <c r="F297" s="112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108"/>
      <c r="S297" s="85"/>
      <c r="T297" s="81"/>
      <c r="U297" s="81"/>
      <c r="V297" s="81"/>
      <c r="W297" s="13"/>
      <c r="X297" s="13"/>
      <c r="Y297" s="13"/>
      <c r="BG297" s="14"/>
    </row>
    <row r="298" spans="2:59" ht="12.75">
      <c r="B298" s="109"/>
      <c r="C298" s="110"/>
      <c r="D298" s="111"/>
      <c r="E298" s="112"/>
      <c r="F298" s="112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108"/>
      <c r="S298" s="85"/>
      <c r="T298" s="81"/>
      <c r="U298" s="81"/>
      <c r="V298" s="81"/>
      <c r="W298" s="13"/>
      <c r="X298" s="13"/>
      <c r="Y298" s="13"/>
      <c r="BG298" s="14"/>
    </row>
    <row r="299" spans="2:59" ht="12.75">
      <c r="B299" s="109"/>
      <c r="C299" s="110"/>
      <c r="D299" s="111"/>
      <c r="E299" s="112"/>
      <c r="F299" s="112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108"/>
      <c r="S299" s="85"/>
      <c r="T299" s="81"/>
      <c r="U299" s="81"/>
      <c r="V299" s="81"/>
      <c r="W299" s="13"/>
      <c r="X299" s="13"/>
      <c r="Y299" s="13"/>
      <c r="BG299" s="14"/>
    </row>
    <row r="300" spans="2:59" ht="12.75">
      <c r="B300" s="109"/>
      <c r="C300" s="110"/>
      <c r="D300" s="111"/>
      <c r="E300" s="112"/>
      <c r="F300" s="112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108"/>
      <c r="S300" s="85"/>
      <c r="T300" s="81"/>
      <c r="U300" s="81"/>
      <c r="V300" s="81"/>
      <c r="W300" s="13"/>
      <c r="X300" s="13"/>
      <c r="Y300" s="13"/>
      <c r="BG300" s="14"/>
    </row>
    <row r="301" spans="2:59" ht="12.75">
      <c r="B301" s="109"/>
      <c r="C301" s="110"/>
      <c r="D301" s="111"/>
      <c r="E301" s="112"/>
      <c r="F301" s="112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108"/>
      <c r="S301" s="85"/>
      <c r="T301" s="81"/>
      <c r="U301" s="81"/>
      <c r="V301" s="81"/>
      <c r="W301" s="13"/>
      <c r="X301" s="13"/>
      <c r="Y301" s="13"/>
      <c r="BG301" s="14"/>
    </row>
    <row r="302" spans="2:59" ht="12.75">
      <c r="B302" s="109"/>
      <c r="C302" s="110"/>
      <c r="D302" s="111"/>
      <c r="E302" s="112"/>
      <c r="F302" s="112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108"/>
      <c r="S302" s="85"/>
      <c r="T302" s="81"/>
      <c r="U302" s="81"/>
      <c r="V302" s="81"/>
      <c r="W302" s="13"/>
      <c r="X302" s="13"/>
      <c r="Y302" s="13"/>
      <c r="BG302" s="14"/>
    </row>
    <row r="303" spans="2:59" ht="12.75">
      <c r="B303" s="109"/>
      <c r="C303" s="110"/>
      <c r="D303" s="111"/>
      <c r="E303" s="112"/>
      <c r="F303" s="112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108"/>
      <c r="S303" s="85"/>
      <c r="T303" s="81"/>
      <c r="U303" s="81"/>
      <c r="V303" s="81"/>
      <c r="W303" s="13"/>
      <c r="X303" s="13"/>
      <c r="Y303" s="13"/>
      <c r="BG303" s="14"/>
    </row>
    <row r="304" spans="2:59" ht="12.75">
      <c r="B304" s="109"/>
      <c r="C304" s="110"/>
      <c r="D304" s="111"/>
      <c r="E304" s="112"/>
      <c r="F304" s="112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108"/>
      <c r="S304" s="85"/>
      <c r="T304" s="81"/>
      <c r="U304" s="81"/>
      <c r="V304" s="81"/>
      <c r="W304" s="13"/>
      <c r="X304" s="13"/>
      <c r="Y304" s="13"/>
      <c r="BG304" s="14"/>
    </row>
    <row r="305" spans="2:59" ht="12.75">
      <c r="B305" s="109"/>
      <c r="C305" s="110"/>
      <c r="D305" s="111"/>
      <c r="E305" s="112"/>
      <c r="F305" s="112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108"/>
      <c r="S305" s="85"/>
      <c r="T305" s="81"/>
      <c r="U305" s="81"/>
      <c r="V305" s="81"/>
      <c r="W305" s="13"/>
      <c r="X305" s="13"/>
      <c r="Y305" s="13"/>
      <c r="BG305" s="14"/>
    </row>
    <row r="306" spans="2:59" ht="12.75">
      <c r="B306" s="109"/>
      <c r="C306" s="110"/>
      <c r="D306" s="111"/>
      <c r="E306" s="112"/>
      <c r="F306" s="112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108"/>
      <c r="S306" s="85"/>
      <c r="T306" s="81"/>
      <c r="U306" s="81"/>
      <c r="V306" s="81"/>
      <c r="W306" s="13"/>
      <c r="X306" s="13"/>
      <c r="Y306" s="13"/>
      <c r="BG306" s="14"/>
    </row>
    <row r="307" spans="2:59" ht="12.75">
      <c r="B307" s="109"/>
      <c r="C307" s="110"/>
      <c r="D307" s="111"/>
      <c r="E307" s="112"/>
      <c r="F307" s="112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108"/>
      <c r="S307" s="85"/>
      <c r="T307" s="81"/>
      <c r="U307" s="81"/>
      <c r="V307" s="81"/>
      <c r="W307" s="13"/>
      <c r="X307" s="13"/>
      <c r="Y307" s="13"/>
      <c r="BG307" s="14"/>
    </row>
    <row r="308" spans="2:59" ht="12.75">
      <c r="B308" s="109"/>
      <c r="C308" s="110"/>
      <c r="D308" s="111"/>
      <c r="E308" s="112"/>
      <c r="F308" s="112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108"/>
      <c r="S308" s="85"/>
      <c r="T308" s="81"/>
      <c r="U308" s="81"/>
      <c r="V308" s="81"/>
      <c r="W308" s="13"/>
      <c r="X308" s="13"/>
      <c r="Y308" s="13"/>
      <c r="BG308" s="14"/>
    </row>
    <row r="309" spans="2:59" ht="12.75">
      <c r="B309" s="109"/>
      <c r="C309" s="110"/>
      <c r="D309" s="111"/>
      <c r="E309" s="112"/>
      <c r="F309" s="112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108"/>
      <c r="S309" s="85"/>
      <c r="T309" s="81"/>
      <c r="U309" s="81"/>
      <c r="V309" s="81"/>
      <c r="W309" s="13"/>
      <c r="X309" s="13"/>
      <c r="Y309" s="13"/>
      <c r="BG309" s="14"/>
    </row>
    <row r="310" spans="2:59" ht="12.75">
      <c r="B310" s="109"/>
      <c r="C310" s="110"/>
      <c r="D310" s="111"/>
      <c r="E310" s="112"/>
      <c r="F310" s="112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108"/>
      <c r="S310" s="85"/>
      <c r="T310" s="81"/>
      <c r="U310" s="81"/>
      <c r="V310" s="81"/>
      <c r="W310" s="13"/>
      <c r="X310" s="13"/>
      <c r="Y310" s="13"/>
      <c r="BG310" s="14"/>
    </row>
    <row r="311" spans="2:59" ht="12.75">
      <c r="B311" s="109"/>
      <c r="C311" s="110"/>
      <c r="D311" s="111"/>
      <c r="E311" s="112"/>
      <c r="F311" s="112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108"/>
      <c r="S311" s="85"/>
      <c r="T311" s="81"/>
      <c r="U311" s="81"/>
      <c r="V311" s="81"/>
      <c r="W311" s="13"/>
      <c r="X311" s="13"/>
      <c r="Y311" s="13"/>
      <c r="BG311" s="14"/>
    </row>
    <row r="312" spans="2:59" ht="12.75">
      <c r="B312" s="109"/>
      <c r="C312" s="110"/>
      <c r="D312" s="111"/>
      <c r="E312" s="112"/>
      <c r="F312" s="112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108"/>
      <c r="S312" s="85"/>
      <c r="T312" s="81"/>
      <c r="U312" s="81"/>
      <c r="V312" s="81"/>
      <c r="W312" s="13"/>
      <c r="X312" s="13"/>
      <c r="Y312" s="13"/>
      <c r="BG312" s="14"/>
    </row>
    <row r="313" spans="2:59" ht="12.75">
      <c r="B313" s="109"/>
      <c r="C313" s="110"/>
      <c r="D313" s="111"/>
      <c r="E313" s="112"/>
      <c r="F313" s="112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108"/>
      <c r="S313" s="85"/>
      <c r="T313" s="81"/>
      <c r="U313" s="81"/>
      <c r="V313" s="81"/>
      <c r="W313" s="13"/>
      <c r="X313" s="13"/>
      <c r="Y313" s="13"/>
      <c r="BG313" s="14"/>
    </row>
    <row r="314" spans="2:59" ht="12.75">
      <c r="B314" s="109"/>
      <c r="C314" s="110"/>
      <c r="D314" s="111"/>
      <c r="E314" s="112"/>
      <c r="F314" s="112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108"/>
      <c r="S314" s="85"/>
      <c r="T314" s="81"/>
      <c r="U314" s="81"/>
      <c r="V314" s="81"/>
      <c r="W314" s="13"/>
      <c r="X314" s="13"/>
      <c r="Y314" s="13"/>
      <c r="BG314" s="14"/>
    </row>
    <row r="315" spans="2:59" ht="12.75">
      <c r="B315" s="109"/>
      <c r="C315" s="110"/>
      <c r="D315" s="111"/>
      <c r="E315" s="112"/>
      <c r="F315" s="112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108"/>
      <c r="S315" s="85"/>
      <c r="T315" s="81"/>
      <c r="U315" s="81"/>
      <c r="V315" s="81"/>
      <c r="W315" s="13"/>
      <c r="X315" s="13"/>
      <c r="Y315" s="13"/>
      <c r="BG315" s="14"/>
    </row>
    <row r="316" spans="2:59" ht="12.75">
      <c r="B316" s="109"/>
      <c r="C316" s="110"/>
      <c r="D316" s="111"/>
      <c r="E316" s="112"/>
      <c r="F316" s="112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108"/>
      <c r="S316" s="85"/>
      <c r="T316" s="81"/>
      <c r="U316" s="81"/>
      <c r="V316" s="81"/>
      <c r="W316" s="13"/>
      <c r="X316" s="13"/>
      <c r="Y316" s="13"/>
      <c r="BG316" s="14"/>
    </row>
    <row r="317" spans="2:59" ht="12.75">
      <c r="B317" s="109"/>
      <c r="C317" s="110"/>
      <c r="D317" s="111"/>
      <c r="E317" s="112"/>
      <c r="F317" s="112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108"/>
      <c r="S317" s="85"/>
      <c r="T317" s="81"/>
      <c r="U317" s="81"/>
      <c r="V317" s="81"/>
      <c r="W317" s="13"/>
      <c r="X317" s="13"/>
      <c r="Y317" s="13"/>
      <c r="BG317" s="14"/>
    </row>
    <row r="318" spans="2:59" ht="12.75">
      <c r="B318" s="109"/>
      <c r="C318" s="110"/>
      <c r="D318" s="111"/>
      <c r="E318" s="112"/>
      <c r="F318" s="112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108"/>
      <c r="S318" s="85"/>
      <c r="T318" s="81"/>
      <c r="U318" s="81"/>
      <c r="V318" s="81"/>
      <c r="W318" s="13"/>
      <c r="X318" s="13"/>
      <c r="Y318" s="13"/>
      <c r="BG318" s="14"/>
    </row>
    <row r="319" spans="2:59" ht="12.75">
      <c r="B319" s="109"/>
      <c r="C319" s="110"/>
      <c r="D319" s="111"/>
      <c r="E319" s="112"/>
      <c r="F319" s="112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108"/>
      <c r="S319" s="85"/>
      <c r="T319" s="81"/>
      <c r="U319" s="81"/>
      <c r="V319" s="81"/>
      <c r="W319" s="13"/>
      <c r="X319" s="13"/>
      <c r="Y319" s="13"/>
      <c r="BG319" s="14"/>
    </row>
    <row r="320" spans="2:59" ht="12.75">
      <c r="B320" s="109"/>
      <c r="C320" s="110"/>
      <c r="D320" s="111"/>
      <c r="E320" s="112"/>
      <c r="F320" s="112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108"/>
      <c r="S320" s="85"/>
      <c r="T320" s="81"/>
      <c r="U320" s="81"/>
      <c r="V320" s="81"/>
      <c r="W320" s="13"/>
      <c r="X320" s="13"/>
      <c r="Y320" s="13"/>
      <c r="BG320" s="14"/>
    </row>
    <row r="321" spans="2:59" ht="12.75">
      <c r="B321" s="109"/>
      <c r="C321" s="110"/>
      <c r="D321" s="111"/>
      <c r="E321" s="112"/>
      <c r="F321" s="112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108"/>
      <c r="S321" s="85"/>
      <c r="T321" s="81"/>
      <c r="U321" s="81"/>
      <c r="V321" s="81"/>
      <c r="W321" s="13"/>
      <c r="X321" s="13"/>
      <c r="Y321" s="13"/>
      <c r="BG321" s="14"/>
    </row>
    <row r="322" spans="2:59" ht="12.75">
      <c r="B322" s="109"/>
      <c r="C322" s="110"/>
      <c r="D322" s="111"/>
      <c r="E322" s="112"/>
      <c r="F322" s="112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108"/>
      <c r="S322" s="85"/>
      <c r="T322" s="81"/>
      <c r="U322" s="81"/>
      <c r="V322" s="81"/>
      <c r="W322" s="13"/>
      <c r="X322" s="13"/>
      <c r="Y322" s="13"/>
      <c r="BG322" s="14"/>
    </row>
    <row r="323" spans="2:59" ht="12.75">
      <c r="B323" s="109"/>
      <c r="C323" s="110"/>
      <c r="D323" s="111"/>
      <c r="E323" s="112"/>
      <c r="F323" s="112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108"/>
      <c r="S323" s="85"/>
      <c r="T323" s="81"/>
      <c r="U323" s="81"/>
      <c r="V323" s="81"/>
      <c r="W323" s="13"/>
      <c r="X323" s="13"/>
      <c r="Y323" s="13"/>
      <c r="BG323" s="14"/>
    </row>
    <row r="324" spans="2:59" ht="12.75">
      <c r="B324" s="109"/>
      <c r="C324" s="110"/>
      <c r="D324" s="111"/>
      <c r="E324" s="112"/>
      <c r="F324" s="112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108"/>
      <c r="S324" s="85"/>
      <c r="T324" s="81"/>
      <c r="U324" s="81"/>
      <c r="V324" s="81"/>
      <c r="W324" s="13"/>
      <c r="X324" s="13"/>
      <c r="Y324" s="13"/>
      <c r="BG324" s="14"/>
    </row>
    <row r="325" spans="2:59" ht="12.75">
      <c r="B325" s="109"/>
      <c r="C325" s="110"/>
      <c r="D325" s="111"/>
      <c r="E325" s="112"/>
      <c r="F325" s="112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108"/>
      <c r="S325" s="85"/>
      <c r="T325" s="81"/>
      <c r="U325" s="81"/>
      <c r="V325" s="81"/>
      <c r="W325" s="13"/>
      <c r="X325" s="13"/>
      <c r="Y325" s="13"/>
      <c r="BG325" s="14"/>
    </row>
    <row r="326" spans="2:59" ht="12.75">
      <c r="B326" s="109"/>
      <c r="C326" s="110"/>
      <c r="D326" s="111"/>
      <c r="E326" s="112"/>
      <c r="F326" s="112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108"/>
      <c r="S326" s="85"/>
      <c r="T326" s="81"/>
      <c r="U326" s="81"/>
      <c r="V326" s="81"/>
      <c r="W326" s="13"/>
      <c r="X326" s="13"/>
      <c r="Y326" s="13"/>
      <c r="BG326" s="14"/>
    </row>
    <row r="327" spans="2:59" ht="12.75">
      <c r="B327" s="109"/>
      <c r="C327" s="110"/>
      <c r="D327" s="111"/>
      <c r="E327" s="112"/>
      <c r="F327" s="112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108"/>
      <c r="S327" s="85"/>
      <c r="T327" s="81"/>
      <c r="U327" s="81"/>
      <c r="V327" s="81"/>
      <c r="W327" s="13"/>
      <c r="X327" s="13"/>
      <c r="Y327" s="13"/>
      <c r="BG327" s="14"/>
    </row>
    <row r="328" spans="2:59" ht="12.75">
      <c r="B328" s="109"/>
      <c r="C328" s="110"/>
      <c r="D328" s="111"/>
      <c r="E328" s="112"/>
      <c r="F328" s="112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108"/>
      <c r="S328" s="85"/>
      <c r="T328" s="81"/>
      <c r="U328" s="81"/>
      <c r="V328" s="81"/>
      <c r="W328" s="13"/>
      <c r="X328" s="13"/>
      <c r="Y328" s="13"/>
      <c r="BG328" s="14"/>
    </row>
    <row r="329" spans="2:59" ht="12.75">
      <c r="B329" s="109"/>
      <c r="C329" s="110"/>
      <c r="D329" s="111"/>
      <c r="E329" s="112"/>
      <c r="F329" s="112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108"/>
      <c r="S329" s="85"/>
      <c r="T329" s="81"/>
      <c r="U329" s="81"/>
      <c r="V329" s="81"/>
      <c r="W329" s="13"/>
      <c r="X329" s="13"/>
      <c r="Y329" s="13"/>
      <c r="BG329" s="14"/>
    </row>
    <row r="330" spans="2:59" ht="12.75">
      <c r="B330" s="109"/>
      <c r="C330" s="110"/>
      <c r="D330" s="111"/>
      <c r="E330" s="112"/>
      <c r="F330" s="112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108"/>
      <c r="S330" s="85"/>
      <c r="T330" s="81"/>
      <c r="U330" s="81"/>
      <c r="V330" s="81"/>
      <c r="W330" s="13"/>
      <c r="X330" s="13"/>
      <c r="Y330" s="13"/>
      <c r="BG330" s="14"/>
    </row>
    <row r="331" spans="2:59" ht="12.75">
      <c r="B331" s="109"/>
      <c r="C331" s="110"/>
      <c r="D331" s="111"/>
      <c r="E331" s="112"/>
      <c r="F331" s="112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108"/>
      <c r="S331" s="85"/>
      <c r="T331" s="81"/>
      <c r="U331" s="81"/>
      <c r="V331" s="81"/>
      <c r="W331" s="13"/>
      <c r="X331" s="13"/>
      <c r="Y331" s="13"/>
      <c r="BG331" s="14"/>
    </row>
    <row r="332" spans="2:59" ht="12.75">
      <c r="B332" s="109"/>
      <c r="C332" s="110"/>
      <c r="D332" s="111"/>
      <c r="E332" s="112"/>
      <c r="F332" s="112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108"/>
      <c r="S332" s="85"/>
      <c r="T332" s="81"/>
      <c r="U332" s="81"/>
      <c r="V332" s="81"/>
      <c r="W332" s="13"/>
      <c r="X332" s="13"/>
      <c r="Y332" s="13"/>
      <c r="BG332" s="14"/>
    </row>
    <row r="333" spans="2:59" ht="12.75">
      <c r="B333" s="109"/>
      <c r="C333" s="110"/>
      <c r="D333" s="111"/>
      <c r="E333" s="112"/>
      <c r="F333" s="112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108"/>
      <c r="S333" s="85"/>
      <c r="T333" s="81"/>
      <c r="U333" s="81"/>
      <c r="V333" s="81"/>
      <c r="W333" s="13"/>
      <c r="X333" s="13"/>
      <c r="Y333" s="13"/>
      <c r="BG333" s="14"/>
    </row>
    <row r="334" spans="2:59" ht="12.75">
      <c r="B334" s="109"/>
      <c r="C334" s="110"/>
      <c r="D334" s="111"/>
      <c r="E334" s="112"/>
      <c r="F334" s="112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108"/>
      <c r="S334" s="85"/>
      <c r="T334" s="81"/>
      <c r="U334" s="81"/>
      <c r="V334" s="81"/>
      <c r="W334" s="13"/>
      <c r="X334" s="13"/>
      <c r="Y334" s="13"/>
      <c r="BG334" s="14"/>
    </row>
    <row r="335" spans="2:59" ht="12.75">
      <c r="B335" s="109"/>
      <c r="C335" s="110"/>
      <c r="D335" s="111"/>
      <c r="E335" s="112"/>
      <c r="F335" s="112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108"/>
      <c r="S335" s="85"/>
      <c r="T335" s="81"/>
      <c r="U335" s="81"/>
      <c r="V335" s="81"/>
      <c r="W335" s="13"/>
      <c r="X335" s="13"/>
      <c r="Y335" s="13"/>
      <c r="BG335" s="14"/>
    </row>
    <row r="336" spans="2:59" ht="12.75">
      <c r="B336" s="109"/>
      <c r="C336" s="110"/>
      <c r="D336" s="111"/>
      <c r="E336" s="112"/>
      <c r="F336" s="112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108"/>
      <c r="S336" s="85"/>
      <c r="T336" s="81"/>
      <c r="U336" s="81"/>
      <c r="V336" s="81"/>
      <c r="W336" s="13"/>
      <c r="X336" s="13"/>
      <c r="Y336" s="13"/>
      <c r="BG336" s="14"/>
    </row>
    <row r="337" spans="2:59" ht="12.75">
      <c r="B337" s="109"/>
      <c r="C337" s="110"/>
      <c r="D337" s="111"/>
      <c r="E337" s="112"/>
      <c r="F337" s="112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108"/>
      <c r="S337" s="85"/>
      <c r="T337" s="81"/>
      <c r="U337" s="81"/>
      <c r="V337" s="81"/>
      <c r="W337" s="13"/>
      <c r="X337" s="13"/>
      <c r="Y337" s="13"/>
      <c r="BG337" s="14"/>
    </row>
    <row r="338" spans="2:59" ht="12.75">
      <c r="B338" s="109"/>
      <c r="C338" s="110"/>
      <c r="D338" s="111"/>
      <c r="E338" s="112"/>
      <c r="F338" s="112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108"/>
      <c r="S338" s="85"/>
      <c r="T338" s="81"/>
      <c r="U338" s="81"/>
      <c r="V338" s="81"/>
      <c r="W338" s="13"/>
      <c r="X338" s="13"/>
      <c r="Y338" s="13"/>
      <c r="BG338" s="14"/>
    </row>
    <row r="339" spans="2:59" ht="12.75">
      <c r="B339" s="109"/>
      <c r="C339" s="110"/>
      <c r="D339" s="111"/>
      <c r="E339" s="112"/>
      <c r="F339" s="112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108"/>
      <c r="S339" s="85"/>
      <c r="T339" s="81"/>
      <c r="U339" s="81"/>
      <c r="V339" s="81"/>
      <c r="W339" s="13"/>
      <c r="X339" s="13"/>
      <c r="Y339" s="13"/>
      <c r="BG339" s="14"/>
    </row>
    <row r="340" spans="2:59" ht="12.75">
      <c r="B340" s="109"/>
      <c r="C340" s="110"/>
      <c r="D340" s="111"/>
      <c r="E340" s="112"/>
      <c r="F340" s="112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108"/>
      <c r="S340" s="85"/>
      <c r="T340" s="81"/>
      <c r="U340" s="81"/>
      <c r="V340" s="81"/>
      <c r="W340" s="13"/>
      <c r="X340" s="13"/>
      <c r="Y340" s="13"/>
      <c r="BG340" s="14"/>
    </row>
    <row r="341" spans="2:59" ht="12.75">
      <c r="B341" s="109"/>
      <c r="C341" s="110"/>
      <c r="D341" s="111"/>
      <c r="E341" s="112"/>
      <c r="F341" s="112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108"/>
      <c r="S341" s="85"/>
      <c r="T341" s="81"/>
      <c r="U341" s="81"/>
      <c r="V341" s="81"/>
      <c r="W341" s="13"/>
      <c r="X341" s="13"/>
      <c r="Y341" s="13"/>
      <c r="BG341" s="14"/>
    </row>
    <row r="342" spans="2:59" ht="12.75">
      <c r="B342" s="109"/>
      <c r="C342" s="110"/>
      <c r="D342" s="111"/>
      <c r="E342" s="112"/>
      <c r="F342" s="112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108"/>
      <c r="S342" s="85"/>
      <c r="T342" s="81"/>
      <c r="U342" s="81"/>
      <c r="V342" s="81"/>
      <c r="W342" s="13"/>
      <c r="X342" s="13"/>
      <c r="Y342" s="13"/>
      <c r="BG342" s="14"/>
    </row>
    <row r="343" spans="2:59" ht="12.75">
      <c r="B343" s="109"/>
      <c r="C343" s="110"/>
      <c r="D343" s="111"/>
      <c r="E343" s="112"/>
      <c r="F343" s="112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108"/>
      <c r="S343" s="85"/>
      <c r="T343" s="81"/>
      <c r="U343" s="81"/>
      <c r="V343" s="81"/>
      <c r="W343" s="13"/>
      <c r="X343" s="13"/>
      <c r="Y343" s="13"/>
      <c r="BG343" s="14"/>
    </row>
    <row r="344" spans="2:59" ht="12.75">
      <c r="B344" s="109"/>
      <c r="C344" s="110"/>
      <c r="D344" s="111"/>
      <c r="E344" s="112"/>
      <c r="F344" s="112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108"/>
      <c r="S344" s="85"/>
      <c r="T344" s="81"/>
      <c r="U344" s="81"/>
      <c r="V344" s="81"/>
      <c r="W344" s="13"/>
      <c r="X344" s="13"/>
      <c r="Y344" s="13"/>
      <c r="BG344" s="14"/>
    </row>
    <row r="345" spans="2:59" ht="12.75">
      <c r="B345" s="109"/>
      <c r="C345" s="110"/>
      <c r="D345" s="111"/>
      <c r="E345" s="112"/>
      <c r="F345" s="112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108"/>
      <c r="S345" s="85"/>
      <c r="T345" s="81"/>
      <c r="U345" s="81"/>
      <c r="V345" s="81"/>
      <c r="W345" s="13"/>
      <c r="X345" s="13"/>
      <c r="Y345" s="13"/>
      <c r="BG345" s="14"/>
    </row>
    <row r="346" spans="2:59" ht="12.75">
      <c r="B346" s="109"/>
      <c r="C346" s="110"/>
      <c r="D346" s="111"/>
      <c r="E346" s="112"/>
      <c r="F346" s="112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108"/>
      <c r="S346" s="85"/>
      <c r="T346" s="81"/>
      <c r="U346" s="81"/>
      <c r="V346" s="81"/>
      <c r="W346" s="13"/>
      <c r="X346" s="13"/>
      <c r="Y346" s="13"/>
      <c r="BG346" s="14"/>
    </row>
    <row r="347" spans="2:59" ht="12.75">
      <c r="B347" s="109"/>
      <c r="C347" s="110"/>
      <c r="D347" s="111"/>
      <c r="E347" s="112"/>
      <c r="F347" s="112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108"/>
      <c r="S347" s="85"/>
      <c r="T347" s="81"/>
      <c r="U347" s="81"/>
      <c r="V347" s="81"/>
      <c r="W347" s="13"/>
      <c r="X347" s="13"/>
      <c r="Y347" s="13"/>
      <c r="BG347" s="14"/>
    </row>
    <row r="348" spans="2:59" ht="12.75">
      <c r="B348" s="109"/>
      <c r="C348" s="110"/>
      <c r="D348" s="111"/>
      <c r="E348" s="112"/>
      <c r="F348" s="112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108"/>
      <c r="S348" s="85"/>
      <c r="T348" s="81"/>
      <c r="U348" s="81"/>
      <c r="V348" s="81"/>
      <c r="W348" s="13"/>
      <c r="X348" s="13"/>
      <c r="Y348" s="13"/>
      <c r="BG348" s="14"/>
    </row>
    <row r="349" spans="2:59" ht="12.75">
      <c r="B349" s="109"/>
      <c r="C349" s="110"/>
      <c r="D349" s="111"/>
      <c r="E349" s="112"/>
      <c r="F349" s="112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108"/>
      <c r="S349" s="85"/>
      <c r="T349" s="81"/>
      <c r="U349" s="81"/>
      <c r="V349" s="81"/>
      <c r="W349" s="13"/>
      <c r="X349" s="13"/>
      <c r="Y349" s="13"/>
      <c r="BG349" s="14"/>
    </row>
    <row r="350" spans="2:59" ht="12.75">
      <c r="B350" s="109"/>
      <c r="C350" s="110"/>
      <c r="D350" s="111"/>
      <c r="E350" s="112"/>
      <c r="F350" s="112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108"/>
      <c r="S350" s="85"/>
      <c r="T350" s="81"/>
      <c r="U350" s="81"/>
      <c r="V350" s="81"/>
      <c r="W350" s="13"/>
      <c r="X350" s="13"/>
      <c r="Y350" s="13"/>
      <c r="BG350" s="14"/>
    </row>
    <row r="351" spans="2:59" ht="12.75">
      <c r="B351" s="109"/>
      <c r="C351" s="110"/>
      <c r="D351" s="111"/>
      <c r="E351" s="112"/>
      <c r="F351" s="112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108"/>
      <c r="S351" s="85"/>
      <c r="T351" s="81"/>
      <c r="U351" s="81"/>
      <c r="V351" s="81"/>
      <c r="W351" s="13"/>
      <c r="X351" s="13"/>
      <c r="Y351" s="13"/>
      <c r="BG351" s="14"/>
    </row>
    <row r="352" spans="2:59" ht="12.75">
      <c r="B352" s="109"/>
      <c r="C352" s="110"/>
      <c r="D352" s="111"/>
      <c r="E352" s="112"/>
      <c r="F352" s="112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108"/>
      <c r="S352" s="85"/>
      <c r="T352" s="81"/>
      <c r="U352" s="81"/>
      <c r="V352" s="81"/>
      <c r="W352" s="13"/>
      <c r="X352" s="13"/>
      <c r="Y352" s="13"/>
      <c r="BG352" s="14"/>
    </row>
    <row r="353" spans="2:59" ht="12.75">
      <c r="B353" s="109"/>
      <c r="C353" s="110"/>
      <c r="D353" s="111"/>
      <c r="E353" s="112"/>
      <c r="F353" s="112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108"/>
      <c r="S353" s="85"/>
      <c r="T353" s="81"/>
      <c r="U353" s="81"/>
      <c r="V353" s="81"/>
      <c r="W353" s="13"/>
      <c r="X353" s="13"/>
      <c r="Y353" s="13"/>
      <c r="BG353" s="14"/>
    </row>
    <row r="354" spans="2:59" ht="12.75">
      <c r="B354" s="109"/>
      <c r="C354" s="110"/>
      <c r="D354" s="111"/>
      <c r="E354" s="112"/>
      <c r="F354" s="112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108"/>
      <c r="S354" s="85"/>
      <c r="T354" s="81"/>
      <c r="U354" s="81"/>
      <c r="V354" s="81"/>
      <c r="W354" s="13"/>
      <c r="X354" s="13"/>
      <c r="Y354" s="13"/>
      <c r="BG354" s="14"/>
    </row>
    <row r="355" spans="2:59" ht="12.75">
      <c r="B355" s="109"/>
      <c r="C355" s="110"/>
      <c r="D355" s="111"/>
      <c r="E355" s="112"/>
      <c r="F355" s="112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108"/>
      <c r="S355" s="85"/>
      <c r="T355" s="81"/>
      <c r="U355" s="81"/>
      <c r="V355" s="81"/>
      <c r="W355" s="13"/>
      <c r="X355" s="13"/>
      <c r="Y355" s="13"/>
      <c r="BG355" s="14"/>
    </row>
    <row r="356" spans="2:59" ht="12.75">
      <c r="B356" s="109"/>
      <c r="C356" s="110"/>
      <c r="D356" s="111"/>
      <c r="E356" s="112"/>
      <c r="F356" s="112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108"/>
      <c r="S356" s="85"/>
      <c r="T356" s="81"/>
      <c r="U356" s="81"/>
      <c r="V356" s="81"/>
      <c r="W356" s="13"/>
      <c r="X356" s="13"/>
      <c r="Y356" s="13"/>
      <c r="BG356" s="14"/>
    </row>
    <row r="357" spans="2:59" ht="12.75">
      <c r="B357" s="109"/>
      <c r="C357" s="110"/>
      <c r="D357" s="111"/>
      <c r="E357" s="112"/>
      <c r="F357" s="112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108"/>
      <c r="S357" s="85"/>
      <c r="T357" s="81"/>
      <c r="U357" s="81"/>
      <c r="V357" s="81"/>
      <c r="W357" s="13"/>
      <c r="X357" s="13"/>
      <c r="Y357" s="13"/>
      <c r="BG357" s="14"/>
    </row>
    <row r="358" spans="2:59" ht="12.75">
      <c r="B358" s="109"/>
      <c r="C358" s="110"/>
      <c r="D358" s="111"/>
      <c r="E358" s="112"/>
      <c r="F358" s="112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108"/>
      <c r="S358" s="85"/>
      <c r="T358" s="81"/>
      <c r="U358" s="81"/>
      <c r="V358" s="81"/>
      <c r="W358" s="13"/>
      <c r="X358" s="13"/>
      <c r="Y358" s="13"/>
      <c r="BG358" s="14"/>
    </row>
    <row r="359" spans="2:59" ht="12.75">
      <c r="B359" s="109"/>
      <c r="C359" s="110"/>
      <c r="D359" s="111"/>
      <c r="E359" s="112"/>
      <c r="F359" s="112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108"/>
      <c r="S359" s="85"/>
      <c r="T359" s="81"/>
      <c r="U359" s="81"/>
      <c r="V359" s="81"/>
      <c r="W359" s="13"/>
      <c r="X359" s="13"/>
      <c r="Y359" s="13"/>
      <c r="BG359" s="14"/>
    </row>
    <row r="360" spans="2:59" ht="12.75">
      <c r="B360" s="109"/>
      <c r="C360" s="110"/>
      <c r="D360" s="111"/>
      <c r="E360" s="112"/>
      <c r="F360" s="112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108"/>
      <c r="S360" s="85"/>
      <c r="T360" s="81"/>
      <c r="U360" s="81"/>
      <c r="V360" s="81"/>
      <c r="W360" s="13"/>
      <c r="X360" s="13"/>
      <c r="Y360" s="13"/>
      <c r="BG360" s="14"/>
    </row>
    <row r="361" spans="2:59" ht="12.75">
      <c r="B361" s="109"/>
      <c r="C361" s="110"/>
      <c r="D361" s="111"/>
      <c r="E361" s="112"/>
      <c r="F361" s="112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108"/>
      <c r="S361" s="85"/>
      <c r="T361" s="81"/>
      <c r="U361" s="81"/>
      <c r="V361" s="81"/>
      <c r="W361" s="13"/>
      <c r="X361" s="13"/>
      <c r="Y361" s="13"/>
      <c r="BG361" s="14"/>
    </row>
    <row r="362" spans="2:59" ht="12.75">
      <c r="B362" s="109"/>
      <c r="C362" s="110"/>
      <c r="D362" s="111"/>
      <c r="E362" s="112"/>
      <c r="F362" s="112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108"/>
      <c r="S362" s="85"/>
      <c r="T362" s="81"/>
      <c r="U362" s="81"/>
      <c r="V362" s="81"/>
      <c r="W362" s="13"/>
      <c r="X362" s="13"/>
      <c r="Y362" s="13"/>
      <c r="BG362" s="14"/>
    </row>
    <row r="363" spans="2:59" ht="12.75">
      <c r="B363" s="109"/>
      <c r="C363" s="110"/>
      <c r="D363" s="111"/>
      <c r="E363" s="112"/>
      <c r="F363" s="112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108"/>
      <c r="S363" s="85"/>
      <c r="T363" s="81"/>
      <c r="U363" s="81"/>
      <c r="V363" s="81"/>
      <c r="W363" s="13"/>
      <c r="X363" s="13"/>
      <c r="Y363" s="13"/>
      <c r="BG363" s="14"/>
    </row>
    <row r="364" spans="2:59" ht="12.75">
      <c r="B364" s="109"/>
      <c r="C364" s="110"/>
      <c r="D364" s="111"/>
      <c r="E364" s="112"/>
      <c r="F364" s="112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108"/>
      <c r="S364" s="85"/>
      <c r="T364" s="81"/>
      <c r="U364" s="81"/>
      <c r="V364" s="81"/>
      <c r="W364" s="13"/>
      <c r="X364" s="13"/>
      <c r="Y364" s="13"/>
      <c r="BG364" s="14"/>
    </row>
    <row r="365" spans="2:59" ht="12.75">
      <c r="B365" s="109"/>
      <c r="C365" s="110"/>
      <c r="D365" s="111"/>
      <c r="E365" s="112"/>
      <c r="F365" s="112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108"/>
      <c r="S365" s="85"/>
      <c r="T365" s="81"/>
      <c r="U365" s="81"/>
      <c r="V365" s="81"/>
      <c r="W365" s="13"/>
      <c r="X365" s="13"/>
      <c r="Y365" s="13"/>
      <c r="BG365" s="14"/>
    </row>
    <row r="366" spans="2:59" ht="12.75">
      <c r="B366" s="109"/>
      <c r="C366" s="110"/>
      <c r="D366" s="111"/>
      <c r="E366" s="112"/>
      <c r="F366" s="112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108"/>
      <c r="S366" s="85"/>
      <c r="T366" s="81"/>
      <c r="U366" s="81"/>
      <c r="V366" s="81"/>
      <c r="W366" s="13"/>
      <c r="X366" s="13"/>
      <c r="Y366" s="13"/>
      <c r="BG366" s="14"/>
    </row>
    <row r="367" spans="2:59" ht="12.75">
      <c r="B367" s="109"/>
      <c r="C367" s="110"/>
      <c r="D367" s="111"/>
      <c r="E367" s="112"/>
      <c r="F367" s="112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108"/>
      <c r="S367" s="85"/>
      <c r="T367" s="81"/>
      <c r="U367" s="81"/>
      <c r="V367" s="81"/>
      <c r="W367" s="13"/>
      <c r="X367" s="13"/>
      <c r="Y367" s="13"/>
      <c r="BG367" s="14"/>
    </row>
    <row r="368" spans="2:59" ht="12.75">
      <c r="B368" s="109"/>
      <c r="C368" s="110"/>
      <c r="D368" s="111"/>
      <c r="E368" s="112"/>
      <c r="F368" s="112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108"/>
      <c r="S368" s="85"/>
      <c r="T368" s="81"/>
      <c r="U368" s="81"/>
      <c r="V368" s="81"/>
      <c r="W368" s="13"/>
      <c r="X368" s="13"/>
      <c r="Y368" s="13"/>
      <c r="BG368" s="14"/>
    </row>
    <row r="369" spans="2:59" ht="12.75">
      <c r="B369" s="109"/>
      <c r="C369" s="110"/>
      <c r="D369" s="111"/>
      <c r="E369" s="112"/>
      <c r="F369" s="112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108"/>
      <c r="S369" s="85"/>
      <c r="T369" s="81"/>
      <c r="U369" s="81"/>
      <c r="V369" s="81"/>
      <c r="W369" s="13"/>
      <c r="X369" s="13"/>
      <c r="Y369" s="13"/>
      <c r="BG369" s="14"/>
    </row>
    <row r="370" spans="2:59" ht="12.75">
      <c r="B370" s="109"/>
      <c r="C370" s="110"/>
      <c r="D370" s="111"/>
      <c r="E370" s="112"/>
      <c r="F370" s="112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108"/>
      <c r="S370" s="85"/>
      <c r="T370" s="81"/>
      <c r="U370" s="81"/>
      <c r="V370" s="81"/>
      <c r="W370" s="13"/>
      <c r="X370" s="13"/>
      <c r="Y370" s="13"/>
      <c r="BG370" s="14"/>
    </row>
    <row r="371" spans="2:59" ht="12.75">
      <c r="B371" s="109"/>
      <c r="C371" s="110"/>
      <c r="D371" s="111"/>
      <c r="E371" s="112"/>
      <c r="F371" s="112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108"/>
      <c r="S371" s="85"/>
      <c r="T371" s="81"/>
      <c r="U371" s="81"/>
      <c r="V371" s="81"/>
      <c r="W371" s="13"/>
      <c r="X371" s="13"/>
      <c r="Y371" s="13"/>
      <c r="BG371" s="14"/>
    </row>
    <row r="372" spans="2:59" ht="12.75">
      <c r="B372" s="109"/>
      <c r="C372" s="110"/>
      <c r="D372" s="111"/>
      <c r="E372" s="112"/>
      <c r="F372" s="112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108"/>
      <c r="S372" s="85"/>
      <c r="T372" s="81"/>
      <c r="U372" s="81"/>
      <c r="V372" s="81"/>
      <c r="W372" s="13"/>
      <c r="X372" s="13"/>
      <c r="Y372" s="13"/>
      <c r="BG372" s="14"/>
    </row>
    <row r="373" spans="2:59" ht="12.75">
      <c r="B373" s="109"/>
      <c r="C373" s="110"/>
      <c r="D373" s="111"/>
      <c r="E373" s="112"/>
      <c r="F373" s="112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108"/>
      <c r="S373" s="85"/>
      <c r="T373" s="81"/>
      <c r="U373" s="81"/>
      <c r="V373" s="81"/>
      <c r="W373" s="13"/>
      <c r="X373" s="13"/>
      <c r="Y373" s="13"/>
      <c r="BG373" s="14"/>
    </row>
    <row r="374" spans="2:59" ht="12.75">
      <c r="B374" s="109"/>
      <c r="C374" s="110"/>
      <c r="D374" s="111"/>
      <c r="E374" s="112"/>
      <c r="F374" s="112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108"/>
      <c r="S374" s="85"/>
      <c r="T374" s="81"/>
      <c r="U374" s="81"/>
      <c r="V374" s="81"/>
      <c r="W374" s="13"/>
      <c r="X374" s="13"/>
      <c r="Y374" s="13"/>
      <c r="BG374" s="14"/>
    </row>
    <row r="375" spans="2:59" ht="12.75">
      <c r="B375" s="109"/>
      <c r="C375" s="110"/>
      <c r="D375" s="111"/>
      <c r="E375" s="112"/>
      <c r="F375" s="112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108"/>
      <c r="S375" s="85"/>
      <c r="T375" s="81"/>
      <c r="U375" s="81"/>
      <c r="V375" s="81"/>
      <c r="W375" s="13"/>
      <c r="X375" s="13"/>
      <c r="Y375" s="13"/>
      <c r="BG375" s="14"/>
    </row>
    <row r="376" spans="2:59" ht="12.75">
      <c r="B376" s="109"/>
      <c r="C376" s="110"/>
      <c r="D376" s="111"/>
      <c r="E376" s="112"/>
      <c r="F376" s="112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108"/>
      <c r="S376" s="85"/>
      <c r="T376" s="81"/>
      <c r="U376" s="81"/>
      <c r="V376" s="81"/>
      <c r="W376" s="13"/>
      <c r="X376" s="13"/>
      <c r="Y376" s="13"/>
      <c r="BG376" s="14"/>
    </row>
    <row r="377" spans="2:59" ht="12.75">
      <c r="B377" s="109"/>
      <c r="C377" s="110"/>
      <c r="D377" s="111"/>
      <c r="E377" s="112"/>
      <c r="F377" s="112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108"/>
      <c r="S377" s="85"/>
      <c r="T377" s="81"/>
      <c r="U377" s="81"/>
      <c r="V377" s="81"/>
      <c r="W377" s="13"/>
      <c r="X377" s="13"/>
      <c r="Y377" s="13"/>
      <c r="BG377" s="14"/>
    </row>
    <row r="378" spans="2:59" ht="12.75">
      <c r="B378" s="109"/>
      <c r="C378" s="110"/>
      <c r="D378" s="111"/>
      <c r="E378" s="112"/>
      <c r="F378" s="112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108"/>
      <c r="S378" s="85"/>
      <c r="T378" s="81"/>
      <c r="U378" s="81"/>
      <c r="V378" s="81"/>
      <c r="W378" s="13"/>
      <c r="X378" s="13"/>
      <c r="Y378" s="13"/>
      <c r="BG378" s="14"/>
    </row>
    <row r="379" spans="2:59" ht="12.75">
      <c r="B379" s="109"/>
      <c r="C379" s="110"/>
      <c r="D379" s="111"/>
      <c r="E379" s="112"/>
      <c r="F379" s="112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108"/>
      <c r="S379" s="85"/>
      <c r="T379" s="81"/>
      <c r="U379" s="81"/>
      <c r="V379" s="81"/>
      <c r="W379" s="13"/>
      <c r="X379" s="13"/>
      <c r="Y379" s="13"/>
      <c r="BG379" s="14"/>
    </row>
    <row r="380" spans="2:59" ht="12.75">
      <c r="B380" s="109"/>
      <c r="C380" s="110"/>
      <c r="D380" s="111"/>
      <c r="E380" s="112"/>
      <c r="F380" s="112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108"/>
      <c r="S380" s="85"/>
      <c r="T380" s="81"/>
      <c r="U380" s="81"/>
      <c r="V380" s="81"/>
      <c r="W380" s="13"/>
      <c r="X380" s="13"/>
      <c r="Y380" s="13"/>
      <c r="BG380" s="14"/>
    </row>
    <row r="381" spans="2:59" ht="12.75">
      <c r="B381" s="109"/>
      <c r="C381" s="110"/>
      <c r="D381" s="111"/>
      <c r="E381" s="112"/>
      <c r="F381" s="112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108"/>
      <c r="S381" s="85"/>
      <c r="T381" s="81"/>
      <c r="U381" s="81"/>
      <c r="V381" s="81"/>
      <c r="W381" s="13"/>
      <c r="X381" s="13"/>
      <c r="Y381" s="13"/>
      <c r="BG381" s="14"/>
    </row>
    <row r="382" spans="2:59" ht="12.75">
      <c r="B382" s="109"/>
      <c r="C382" s="110"/>
      <c r="D382" s="111"/>
      <c r="E382" s="112"/>
      <c r="F382" s="112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108"/>
      <c r="S382" s="85"/>
      <c r="T382" s="81"/>
      <c r="U382" s="81"/>
      <c r="V382" s="81"/>
      <c r="W382" s="13"/>
      <c r="X382" s="13"/>
      <c r="Y382" s="13"/>
      <c r="BG382" s="14"/>
    </row>
    <row r="383" spans="2:59" ht="12.75">
      <c r="B383" s="109"/>
      <c r="C383" s="110"/>
      <c r="D383" s="111"/>
      <c r="E383" s="112"/>
      <c r="F383" s="112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108"/>
      <c r="S383" s="85"/>
      <c r="T383" s="81"/>
      <c r="U383" s="81"/>
      <c r="V383" s="81"/>
      <c r="W383" s="13"/>
      <c r="X383" s="13"/>
      <c r="Y383" s="13"/>
      <c r="BG383" s="14"/>
    </row>
    <row r="384" spans="2:59" ht="12.75">
      <c r="B384" s="109"/>
      <c r="C384" s="110"/>
      <c r="D384" s="111"/>
      <c r="E384" s="112"/>
      <c r="F384" s="112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108"/>
      <c r="S384" s="85"/>
      <c r="T384" s="81"/>
      <c r="U384" s="81"/>
      <c r="V384" s="81"/>
      <c r="W384" s="13"/>
      <c r="X384" s="13"/>
      <c r="Y384" s="13"/>
      <c r="BG384" s="14"/>
    </row>
    <row r="385" spans="2:59" ht="12.75">
      <c r="B385" s="109"/>
      <c r="C385" s="110"/>
      <c r="D385" s="111"/>
      <c r="E385" s="112"/>
      <c r="F385" s="112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108"/>
      <c r="S385" s="85"/>
      <c r="T385" s="81"/>
      <c r="U385" s="81"/>
      <c r="V385" s="81"/>
      <c r="W385" s="13"/>
      <c r="X385" s="13"/>
      <c r="Y385" s="13"/>
      <c r="BG385" s="14"/>
    </row>
    <row r="386" spans="2:59" ht="12.75">
      <c r="B386" s="109"/>
      <c r="C386" s="110"/>
      <c r="D386" s="111"/>
      <c r="E386" s="112"/>
      <c r="F386" s="112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108"/>
      <c r="S386" s="85"/>
      <c r="T386" s="81"/>
      <c r="U386" s="81"/>
      <c r="V386" s="81"/>
      <c r="W386" s="13"/>
      <c r="X386" s="13"/>
      <c r="Y386" s="13"/>
      <c r="BG386" s="14"/>
    </row>
    <row r="387" spans="2:59" ht="12.75">
      <c r="B387" s="109"/>
      <c r="C387" s="110"/>
      <c r="D387" s="111"/>
      <c r="E387" s="112"/>
      <c r="F387" s="112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108"/>
      <c r="S387" s="85"/>
      <c r="T387" s="81"/>
      <c r="U387" s="81"/>
      <c r="V387" s="81"/>
      <c r="W387" s="13"/>
      <c r="X387" s="13"/>
      <c r="Y387" s="13"/>
      <c r="BG387" s="14"/>
    </row>
    <row r="388" spans="2:59" ht="12.75">
      <c r="B388" s="109"/>
      <c r="C388" s="110"/>
      <c r="D388" s="111"/>
      <c r="E388" s="112"/>
      <c r="F388" s="112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108"/>
      <c r="S388" s="85"/>
      <c r="T388" s="81"/>
      <c r="U388" s="81"/>
      <c r="V388" s="81"/>
      <c r="W388" s="13"/>
      <c r="X388" s="13"/>
      <c r="Y388" s="13"/>
      <c r="BG388" s="14"/>
    </row>
    <row r="389" spans="2:59" ht="12.75">
      <c r="B389" s="109"/>
      <c r="C389" s="110"/>
      <c r="D389" s="111"/>
      <c r="E389" s="112"/>
      <c r="F389" s="112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108"/>
      <c r="S389" s="85"/>
      <c r="T389" s="81"/>
      <c r="U389" s="81"/>
      <c r="V389" s="81"/>
      <c r="W389" s="13"/>
      <c r="X389" s="13"/>
      <c r="Y389" s="13"/>
      <c r="BG389" s="14"/>
    </row>
    <row r="390" spans="2:59" ht="12.75">
      <c r="B390" s="109"/>
      <c r="C390" s="110"/>
      <c r="D390" s="111"/>
      <c r="E390" s="112"/>
      <c r="F390" s="112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108"/>
      <c r="S390" s="85"/>
      <c r="T390" s="81"/>
      <c r="U390" s="81"/>
      <c r="V390" s="81"/>
      <c r="W390" s="13"/>
      <c r="X390" s="13"/>
      <c r="Y390" s="13"/>
      <c r="BG390" s="14"/>
    </row>
    <row r="391" spans="2:59" ht="12.75">
      <c r="B391" s="109"/>
      <c r="C391" s="110"/>
      <c r="D391" s="111"/>
      <c r="E391" s="112"/>
      <c r="F391" s="112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108"/>
      <c r="S391" s="85"/>
      <c r="T391" s="81"/>
      <c r="U391" s="81"/>
      <c r="V391" s="81"/>
      <c r="W391" s="13"/>
      <c r="X391" s="13"/>
      <c r="Y391" s="13"/>
      <c r="BG391" s="14"/>
    </row>
    <row r="392" spans="2:25" ht="12.75">
      <c r="B392" s="109"/>
      <c r="C392" s="111"/>
      <c r="D392" s="111"/>
      <c r="E392" s="111"/>
      <c r="F392" s="111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1"/>
      <c r="T392" s="13"/>
      <c r="U392" s="13"/>
      <c r="V392" s="13"/>
      <c r="W392" s="13"/>
      <c r="X392" s="13"/>
      <c r="Y392" s="13"/>
    </row>
    <row r="393" spans="2:25" ht="12.75">
      <c r="B393" s="109"/>
      <c r="C393" s="111"/>
      <c r="D393" s="111"/>
      <c r="E393" s="111"/>
      <c r="F393" s="111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1"/>
      <c r="T393" s="13"/>
      <c r="U393" s="13"/>
      <c r="V393" s="13"/>
      <c r="W393" s="13"/>
      <c r="X393" s="13"/>
      <c r="Y393" s="13"/>
    </row>
    <row r="394" spans="2:25" ht="12.75">
      <c r="B394" s="109"/>
      <c r="C394" s="111"/>
      <c r="D394" s="111"/>
      <c r="E394" s="111"/>
      <c r="F394" s="111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1"/>
      <c r="T394" s="13"/>
      <c r="U394" s="13"/>
      <c r="V394" s="13"/>
      <c r="W394" s="13"/>
      <c r="X394" s="13"/>
      <c r="Y394" s="13"/>
    </row>
    <row r="395" spans="2:25" ht="12.75">
      <c r="B395" s="109"/>
      <c r="C395" s="111"/>
      <c r="D395" s="111"/>
      <c r="E395" s="111"/>
      <c r="F395" s="111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1"/>
      <c r="T395" s="13"/>
      <c r="U395" s="13"/>
      <c r="V395" s="13"/>
      <c r="W395" s="13"/>
      <c r="X395" s="13"/>
      <c r="Y395" s="13"/>
    </row>
    <row r="396" spans="2:25" ht="12.75">
      <c r="B396" s="109"/>
      <c r="C396" s="111"/>
      <c r="D396" s="111"/>
      <c r="E396" s="111"/>
      <c r="F396" s="111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1"/>
      <c r="T396" s="13"/>
      <c r="U396" s="13"/>
      <c r="V396" s="13"/>
      <c r="W396" s="13"/>
      <c r="X396" s="13"/>
      <c r="Y396" s="13"/>
    </row>
    <row r="397" spans="2:25" ht="12.75">
      <c r="B397" s="109"/>
      <c r="C397" s="111"/>
      <c r="D397" s="111"/>
      <c r="E397" s="111"/>
      <c r="F397" s="111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1"/>
      <c r="T397" s="13"/>
      <c r="U397" s="13"/>
      <c r="V397" s="13"/>
      <c r="W397" s="13"/>
      <c r="X397" s="13"/>
      <c r="Y397" s="13"/>
    </row>
    <row r="398" spans="2:25" ht="12.75">
      <c r="B398" s="109"/>
      <c r="C398" s="111"/>
      <c r="D398" s="111"/>
      <c r="E398" s="111"/>
      <c r="F398" s="111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1"/>
      <c r="T398" s="13"/>
      <c r="U398" s="13"/>
      <c r="V398" s="13"/>
      <c r="W398" s="13"/>
      <c r="X398" s="13"/>
      <c r="Y398" s="13"/>
    </row>
    <row r="399" spans="2:25" ht="12.75">
      <c r="B399" s="109"/>
      <c r="C399" s="111"/>
      <c r="D399" s="111"/>
      <c r="E399" s="111"/>
      <c r="F399" s="111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1"/>
      <c r="T399" s="13"/>
      <c r="U399" s="13"/>
      <c r="V399" s="13"/>
      <c r="W399" s="13"/>
      <c r="X399" s="13"/>
      <c r="Y399" s="13"/>
    </row>
    <row r="400" spans="2:25" ht="12.75">
      <c r="B400" s="109"/>
      <c r="C400" s="111"/>
      <c r="D400" s="111"/>
      <c r="E400" s="111"/>
      <c r="F400" s="111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1"/>
      <c r="T400" s="13"/>
      <c r="U400" s="13"/>
      <c r="V400" s="13"/>
      <c r="W400" s="13"/>
      <c r="X400" s="13"/>
      <c r="Y400" s="13"/>
    </row>
    <row r="401" spans="2:25" ht="12.75">
      <c r="B401" s="109"/>
      <c r="C401" s="111"/>
      <c r="D401" s="111"/>
      <c r="E401" s="111"/>
      <c r="F401" s="111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1"/>
      <c r="T401" s="13"/>
      <c r="U401" s="13"/>
      <c r="V401" s="13"/>
      <c r="W401" s="13"/>
      <c r="X401" s="13"/>
      <c r="Y401" s="13"/>
    </row>
    <row r="402" spans="2:25" ht="12.75">
      <c r="B402" s="109"/>
      <c r="C402" s="111"/>
      <c r="D402" s="111"/>
      <c r="E402" s="111"/>
      <c r="F402" s="111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1"/>
      <c r="T402" s="13"/>
      <c r="U402" s="13"/>
      <c r="V402" s="13"/>
      <c r="W402" s="13"/>
      <c r="X402" s="13"/>
      <c r="Y402" s="13"/>
    </row>
    <row r="403" spans="2:25" ht="12.75">
      <c r="B403" s="109"/>
      <c r="C403" s="111"/>
      <c r="D403" s="111"/>
      <c r="E403" s="111"/>
      <c r="F403" s="111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1"/>
      <c r="T403" s="13"/>
      <c r="U403" s="13"/>
      <c r="V403" s="13"/>
      <c r="W403" s="13"/>
      <c r="X403" s="13"/>
      <c r="Y403" s="13"/>
    </row>
    <row r="404" spans="2:25" ht="12.75">
      <c r="B404" s="109"/>
      <c r="C404" s="111"/>
      <c r="D404" s="111"/>
      <c r="E404" s="111"/>
      <c r="F404" s="111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1"/>
      <c r="T404" s="13"/>
      <c r="U404" s="13"/>
      <c r="V404" s="13"/>
      <c r="W404" s="13"/>
      <c r="X404" s="13"/>
      <c r="Y404" s="13"/>
    </row>
    <row r="405" spans="2:25" ht="12.75">
      <c r="B405" s="109"/>
      <c r="C405" s="111"/>
      <c r="D405" s="111"/>
      <c r="E405" s="111"/>
      <c r="F405" s="111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1"/>
      <c r="T405" s="13"/>
      <c r="U405" s="13"/>
      <c r="V405" s="13"/>
      <c r="W405" s="13"/>
      <c r="X405" s="13"/>
      <c r="Y405" s="13"/>
    </row>
    <row r="406" spans="2:25" ht="12.75">
      <c r="B406" s="109"/>
      <c r="C406" s="111"/>
      <c r="D406" s="111"/>
      <c r="E406" s="111"/>
      <c r="F406" s="111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1"/>
      <c r="T406" s="13"/>
      <c r="U406" s="13"/>
      <c r="V406" s="13"/>
      <c r="W406" s="13"/>
      <c r="X406" s="13"/>
      <c r="Y406" s="13"/>
    </row>
    <row r="407" spans="2:25" ht="12.75">
      <c r="B407" s="109"/>
      <c r="C407" s="113"/>
      <c r="D407" s="113"/>
      <c r="E407" s="113"/>
      <c r="F407" s="113"/>
      <c r="G407" s="25"/>
      <c r="H407" s="25"/>
      <c r="I407" s="25"/>
      <c r="J407" s="25"/>
      <c r="K407" s="25"/>
      <c r="L407" s="25"/>
      <c r="M407" s="25"/>
      <c r="N407" s="25"/>
      <c r="O407" s="13"/>
      <c r="P407" s="25"/>
      <c r="Q407" s="25"/>
      <c r="R407" s="25"/>
      <c r="S407" s="12"/>
      <c r="T407" s="25"/>
      <c r="U407" s="25"/>
      <c r="V407" s="25"/>
      <c r="W407" s="25"/>
      <c r="X407" s="25"/>
      <c r="Y407" s="25"/>
    </row>
    <row r="408" spans="2:25" ht="12.75">
      <c r="B408" s="109"/>
      <c r="C408" s="113"/>
      <c r="D408" s="113"/>
      <c r="E408" s="113"/>
      <c r="F408" s="113"/>
      <c r="G408" s="25"/>
      <c r="H408" s="25"/>
      <c r="I408" s="25"/>
      <c r="J408" s="25"/>
      <c r="K408" s="25"/>
      <c r="L408" s="25"/>
      <c r="M408" s="25"/>
      <c r="N408" s="25"/>
      <c r="O408" s="13"/>
      <c r="P408" s="25"/>
      <c r="Q408" s="25"/>
      <c r="R408" s="25"/>
      <c r="S408" s="12"/>
      <c r="T408" s="25"/>
      <c r="U408" s="25"/>
      <c r="V408" s="25"/>
      <c r="W408" s="25"/>
      <c r="X408" s="25"/>
      <c r="Y408" s="25"/>
    </row>
    <row r="409" spans="2:25" ht="12.75">
      <c r="B409" s="109"/>
      <c r="C409" s="113"/>
      <c r="D409" s="113"/>
      <c r="E409" s="113"/>
      <c r="F409" s="113"/>
      <c r="G409" s="25"/>
      <c r="H409" s="25"/>
      <c r="I409" s="25"/>
      <c r="J409" s="25"/>
      <c r="K409" s="25"/>
      <c r="L409" s="25"/>
      <c r="M409" s="25"/>
      <c r="N409" s="25"/>
      <c r="O409" s="13"/>
      <c r="P409" s="25"/>
      <c r="Q409" s="25"/>
      <c r="R409" s="25"/>
      <c r="S409" s="12"/>
      <c r="T409" s="25"/>
      <c r="U409" s="25"/>
      <c r="V409" s="25"/>
      <c r="W409" s="25"/>
      <c r="X409" s="25"/>
      <c r="Y409" s="25"/>
    </row>
    <row r="410" spans="2:25" ht="12.75">
      <c r="B410" s="109"/>
      <c r="C410" s="113"/>
      <c r="D410" s="113"/>
      <c r="E410" s="113"/>
      <c r="F410" s="113"/>
      <c r="G410" s="25"/>
      <c r="H410" s="25"/>
      <c r="I410" s="25"/>
      <c r="J410" s="25"/>
      <c r="K410" s="25"/>
      <c r="L410" s="25"/>
      <c r="M410" s="25"/>
      <c r="N410" s="25"/>
      <c r="O410" s="13"/>
      <c r="P410" s="25"/>
      <c r="Q410" s="25"/>
      <c r="R410" s="25"/>
      <c r="S410" s="12"/>
      <c r="T410" s="25"/>
      <c r="U410" s="25"/>
      <c r="V410" s="25"/>
      <c r="W410" s="25"/>
      <c r="X410" s="25"/>
      <c r="Y410" s="25"/>
    </row>
    <row r="411" spans="2:25" ht="12.75">
      <c r="B411" s="109"/>
      <c r="C411" s="113"/>
      <c r="D411" s="113"/>
      <c r="E411" s="113"/>
      <c r="F411" s="113"/>
      <c r="G411" s="25"/>
      <c r="H411" s="25"/>
      <c r="I411" s="25"/>
      <c r="J411" s="25"/>
      <c r="K411" s="25"/>
      <c r="L411" s="25"/>
      <c r="M411" s="25"/>
      <c r="N411" s="25"/>
      <c r="O411" s="13"/>
      <c r="P411" s="25"/>
      <c r="Q411" s="25"/>
      <c r="R411" s="25"/>
      <c r="S411" s="12"/>
      <c r="T411" s="25"/>
      <c r="U411" s="25"/>
      <c r="V411" s="25"/>
      <c r="W411" s="25"/>
      <c r="X411" s="25"/>
      <c r="Y411" s="25"/>
    </row>
    <row r="412" spans="2:25" ht="12.75">
      <c r="B412" s="109"/>
      <c r="C412" s="113"/>
      <c r="D412" s="113"/>
      <c r="E412" s="113"/>
      <c r="F412" s="113"/>
      <c r="G412" s="25"/>
      <c r="H412" s="25"/>
      <c r="I412" s="25"/>
      <c r="J412" s="25"/>
      <c r="K412" s="25"/>
      <c r="L412" s="25"/>
      <c r="M412" s="25"/>
      <c r="N412" s="25"/>
      <c r="O412" s="13"/>
      <c r="P412" s="25"/>
      <c r="Q412" s="25"/>
      <c r="R412" s="25"/>
      <c r="S412" s="12"/>
      <c r="T412" s="25"/>
      <c r="U412" s="25"/>
      <c r="V412" s="25"/>
      <c r="W412" s="25"/>
      <c r="X412" s="25"/>
      <c r="Y412" s="25"/>
    </row>
    <row r="413" spans="2:25" ht="12.75">
      <c r="B413" s="109"/>
      <c r="C413" s="113"/>
      <c r="D413" s="113"/>
      <c r="E413" s="113"/>
      <c r="F413" s="113"/>
      <c r="G413" s="25"/>
      <c r="H413" s="25"/>
      <c r="I413" s="25"/>
      <c r="J413" s="25"/>
      <c r="K413" s="25"/>
      <c r="L413" s="25"/>
      <c r="M413" s="25"/>
      <c r="N413" s="25"/>
      <c r="O413" s="13"/>
      <c r="P413" s="25"/>
      <c r="Q413" s="25"/>
      <c r="R413" s="25"/>
      <c r="S413" s="12"/>
      <c r="T413" s="25"/>
      <c r="U413" s="25"/>
      <c r="V413" s="25"/>
      <c r="W413" s="25"/>
      <c r="X413" s="25"/>
      <c r="Y413" s="25"/>
    </row>
    <row r="414" spans="2:25" ht="12.75">
      <c r="B414" s="109"/>
      <c r="C414" s="113"/>
      <c r="D414" s="113"/>
      <c r="E414" s="113"/>
      <c r="F414" s="113"/>
      <c r="G414" s="25"/>
      <c r="H414" s="25"/>
      <c r="I414" s="25"/>
      <c r="J414" s="25"/>
      <c r="K414" s="25"/>
      <c r="L414" s="25"/>
      <c r="M414" s="25"/>
      <c r="N414" s="25"/>
      <c r="O414" s="13"/>
      <c r="P414" s="25"/>
      <c r="Q414" s="25"/>
      <c r="R414" s="25"/>
      <c r="S414" s="12"/>
      <c r="T414" s="25"/>
      <c r="U414" s="25"/>
      <c r="V414" s="25"/>
      <c r="W414" s="25"/>
      <c r="X414" s="25"/>
      <c r="Y414" s="25"/>
    </row>
    <row r="415" spans="2:25" ht="12.75">
      <c r="B415" s="109"/>
      <c r="C415" s="113"/>
      <c r="D415" s="113"/>
      <c r="E415" s="113"/>
      <c r="F415" s="113"/>
      <c r="G415" s="25"/>
      <c r="H415" s="25"/>
      <c r="I415" s="25"/>
      <c r="J415" s="25"/>
      <c r="K415" s="25"/>
      <c r="L415" s="25"/>
      <c r="M415" s="25"/>
      <c r="N415" s="25"/>
      <c r="O415" s="13"/>
      <c r="P415" s="25"/>
      <c r="Q415" s="25"/>
      <c r="R415" s="25"/>
      <c r="S415" s="12"/>
      <c r="T415" s="25"/>
      <c r="U415" s="25"/>
      <c r="V415" s="25"/>
      <c r="W415" s="25"/>
      <c r="X415" s="25"/>
      <c r="Y415" s="25"/>
    </row>
    <row r="416" spans="2:25" ht="12.75">
      <c r="B416" s="109"/>
      <c r="C416" s="113"/>
      <c r="D416" s="113"/>
      <c r="E416" s="113"/>
      <c r="F416" s="113"/>
      <c r="G416" s="25"/>
      <c r="H416" s="25"/>
      <c r="I416" s="25"/>
      <c r="J416" s="25"/>
      <c r="K416" s="25"/>
      <c r="L416" s="25"/>
      <c r="M416" s="25"/>
      <c r="N416" s="25"/>
      <c r="O416" s="13"/>
      <c r="P416" s="25"/>
      <c r="Q416" s="25"/>
      <c r="R416" s="25"/>
      <c r="S416" s="12"/>
      <c r="T416" s="25"/>
      <c r="U416" s="25"/>
      <c r="V416" s="25"/>
      <c r="W416" s="25"/>
      <c r="X416" s="25"/>
      <c r="Y416" s="25"/>
    </row>
    <row r="417" spans="2:25" ht="12.75">
      <c r="B417" s="109"/>
      <c r="C417" s="113"/>
      <c r="D417" s="113"/>
      <c r="E417" s="113"/>
      <c r="F417" s="113"/>
      <c r="G417" s="25"/>
      <c r="H417" s="25"/>
      <c r="I417" s="25"/>
      <c r="J417" s="25"/>
      <c r="K417" s="25"/>
      <c r="L417" s="25"/>
      <c r="M417" s="25"/>
      <c r="N417" s="25"/>
      <c r="O417" s="13"/>
      <c r="P417" s="25"/>
      <c r="Q417" s="25"/>
      <c r="R417" s="25"/>
      <c r="S417" s="12"/>
      <c r="T417" s="25"/>
      <c r="U417" s="25"/>
      <c r="V417" s="25"/>
      <c r="W417" s="25"/>
      <c r="X417" s="25"/>
      <c r="Y417" s="25"/>
    </row>
    <row r="418" spans="2:25" ht="12.75">
      <c r="B418" s="109"/>
      <c r="C418" s="113"/>
      <c r="D418" s="113"/>
      <c r="E418" s="113"/>
      <c r="F418" s="113"/>
      <c r="G418" s="25"/>
      <c r="H418" s="25"/>
      <c r="I418" s="25"/>
      <c r="J418" s="25"/>
      <c r="K418" s="25"/>
      <c r="L418" s="25"/>
      <c r="M418" s="25"/>
      <c r="N418" s="25"/>
      <c r="O418" s="13"/>
      <c r="P418" s="25"/>
      <c r="Q418" s="25"/>
      <c r="R418" s="25"/>
      <c r="S418" s="12"/>
      <c r="T418" s="25"/>
      <c r="U418" s="25"/>
      <c r="V418" s="25"/>
      <c r="W418" s="25"/>
      <c r="X418" s="25"/>
      <c r="Y418" s="25"/>
    </row>
    <row r="419" spans="2:25" ht="12.75">
      <c r="B419" s="109"/>
      <c r="C419" s="113"/>
      <c r="D419" s="113"/>
      <c r="E419" s="113"/>
      <c r="F419" s="113"/>
      <c r="G419" s="25"/>
      <c r="H419" s="25"/>
      <c r="I419" s="25"/>
      <c r="J419" s="25"/>
      <c r="K419" s="25"/>
      <c r="L419" s="25"/>
      <c r="M419" s="25"/>
      <c r="N419" s="25"/>
      <c r="O419" s="13"/>
      <c r="P419" s="25"/>
      <c r="Q419" s="25"/>
      <c r="R419" s="25"/>
      <c r="S419" s="12"/>
      <c r="T419" s="25"/>
      <c r="U419" s="25"/>
      <c r="V419" s="25"/>
      <c r="W419" s="25"/>
      <c r="X419" s="25"/>
      <c r="Y419" s="25"/>
    </row>
    <row r="420" spans="2:25" ht="12.75">
      <c r="B420" s="109"/>
      <c r="C420" s="113"/>
      <c r="D420" s="113"/>
      <c r="E420" s="113"/>
      <c r="F420" s="113"/>
      <c r="G420" s="25"/>
      <c r="H420" s="25"/>
      <c r="I420" s="25"/>
      <c r="J420" s="25"/>
      <c r="K420" s="25"/>
      <c r="L420" s="25"/>
      <c r="M420" s="25"/>
      <c r="N420" s="25"/>
      <c r="O420" s="13"/>
      <c r="P420" s="25"/>
      <c r="Q420" s="25"/>
      <c r="R420" s="25"/>
      <c r="S420" s="12"/>
      <c r="T420" s="25"/>
      <c r="U420" s="25"/>
      <c r="V420" s="25"/>
      <c r="W420" s="25"/>
      <c r="X420" s="25"/>
      <c r="Y420" s="25"/>
    </row>
    <row r="421" spans="2:25" ht="12.75">
      <c r="B421" s="109"/>
      <c r="C421" s="113"/>
      <c r="D421" s="113"/>
      <c r="E421" s="113"/>
      <c r="F421" s="113"/>
      <c r="G421" s="25"/>
      <c r="H421" s="25"/>
      <c r="I421" s="25"/>
      <c r="J421" s="25"/>
      <c r="K421" s="25"/>
      <c r="L421" s="25"/>
      <c r="M421" s="25"/>
      <c r="N421" s="25"/>
      <c r="O421" s="13"/>
      <c r="P421" s="25"/>
      <c r="Q421" s="25"/>
      <c r="R421" s="25"/>
      <c r="S421" s="12"/>
      <c r="T421" s="25"/>
      <c r="U421" s="25"/>
      <c r="V421" s="25"/>
      <c r="W421" s="25"/>
      <c r="X421" s="25"/>
      <c r="Y421" s="25"/>
    </row>
  </sheetData>
  <sheetProtection password="D5F2" sheet="1" objects="1" scenarios="1"/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6"/>
  <sheetViews>
    <sheetView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1" width="2.28125" style="1" customWidth="1"/>
    <col min="2" max="2" width="13.7109375" style="1" customWidth="1"/>
    <col min="3" max="3" width="8.57421875" style="1" customWidth="1"/>
    <col min="4" max="4" width="11.140625" style="1" customWidth="1"/>
    <col min="5" max="5" width="10.7109375" style="1" customWidth="1"/>
    <col min="6" max="6" width="7.57421875" style="1" customWidth="1"/>
    <col min="7" max="7" width="11.28125" style="1" customWidth="1"/>
    <col min="8" max="8" width="18.7109375" style="1" customWidth="1"/>
    <col min="9" max="9" width="7.7109375" style="1" customWidth="1"/>
    <col min="10" max="10" width="8.7109375" style="1" customWidth="1"/>
    <col min="11" max="11" width="18.28125" style="1" customWidth="1"/>
    <col min="12" max="12" width="15.140625" style="1" customWidth="1"/>
    <col min="13" max="13" width="7.57421875" style="1" customWidth="1"/>
    <col min="14" max="14" width="7.421875" style="1" customWidth="1"/>
    <col min="15" max="16" width="8.8515625" style="1" customWidth="1"/>
    <col min="17" max="26" width="8.7109375" style="1" customWidth="1"/>
    <col min="27" max="27" width="6.8515625" style="1" customWidth="1"/>
    <col min="28" max="28" width="7.8515625" style="1" customWidth="1"/>
    <col min="29" max="29" width="7.28125" style="1" customWidth="1"/>
    <col min="30" max="30" width="4.421875" style="3" customWidth="1"/>
    <col min="31" max="31" width="7.28125" style="1" customWidth="1"/>
    <col min="32" max="32" width="6.28125" style="1" customWidth="1"/>
    <col min="33" max="35" width="11.421875" style="1" customWidth="1"/>
    <col min="36" max="36" width="11.421875" style="3" customWidth="1"/>
    <col min="37" max="39" width="11.421875" style="1" customWidth="1"/>
    <col min="40" max="40" width="7.421875" style="1" customWidth="1"/>
    <col min="41" max="41" width="11.421875" style="1" customWidth="1"/>
    <col min="42" max="42" width="7.00390625" style="1" customWidth="1"/>
    <col min="43" max="43" width="20.00390625" style="1" customWidth="1"/>
    <col min="44" max="44" width="7.28125" style="1" customWidth="1"/>
    <col min="45" max="45" width="6.00390625" style="1" customWidth="1"/>
    <col min="46" max="69" width="11.421875" style="1" customWidth="1"/>
    <col min="70" max="70" width="11.421875" style="125" customWidth="1"/>
    <col min="71" max="78" width="0" style="133" hidden="1" customWidth="1"/>
    <col min="79" max="79" width="8.28125" style="133" hidden="1" customWidth="1"/>
    <col min="80" max="80" width="8.7109375" style="133" hidden="1" customWidth="1"/>
    <col min="81" max="81" width="8.421875" style="133" hidden="1" customWidth="1"/>
    <col min="82" max="82" width="2.7109375" style="176" hidden="1" customWidth="1"/>
    <col min="83" max="90" width="2.7109375" style="133" hidden="1" customWidth="1"/>
    <col min="91" max="92" width="5.00390625" style="133" hidden="1" customWidth="1"/>
    <col min="93" max="93" width="3.8515625" style="133" hidden="1" customWidth="1"/>
    <col min="94" max="94" width="28.00390625" style="133" hidden="1" customWidth="1"/>
    <col min="95" max="100" width="0" style="133" hidden="1" customWidth="1"/>
    <col min="101" max="101" width="8.8515625" style="133" hidden="1" customWidth="1"/>
    <col min="102" max="102" width="10.7109375" style="133" hidden="1" customWidth="1"/>
    <col min="103" max="103" width="4.7109375" style="133" hidden="1" customWidth="1"/>
    <col min="104" max="105" width="0" style="133" hidden="1" customWidth="1"/>
    <col min="106" max="16384" width="11.421875" style="1" customWidth="1"/>
  </cols>
  <sheetData>
    <row r="1" spans="1:104" ht="12.75">
      <c r="A1" s="239"/>
      <c r="B1" s="239"/>
      <c r="C1" s="239"/>
      <c r="D1" s="239"/>
      <c r="E1" s="239"/>
      <c r="F1" s="239"/>
      <c r="G1" s="239"/>
      <c r="H1" s="239"/>
      <c r="I1" s="239"/>
      <c r="J1" s="235"/>
      <c r="K1" s="235"/>
      <c r="L1" s="235"/>
      <c r="M1" s="235"/>
      <c r="N1" s="235"/>
      <c r="O1" s="235"/>
      <c r="P1" s="235"/>
      <c r="Q1" s="235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5"/>
      <c r="AC1" s="253"/>
      <c r="AD1" s="253"/>
      <c r="AE1" s="69"/>
      <c r="AF1" s="69"/>
      <c r="AG1" s="253"/>
      <c r="AH1" s="244"/>
      <c r="AI1" s="244"/>
      <c r="AJ1" s="244"/>
      <c r="AK1" s="244"/>
      <c r="AL1" s="244"/>
      <c r="AM1" s="244"/>
      <c r="AN1" s="244"/>
      <c r="AO1" s="253"/>
      <c r="AP1" s="253"/>
      <c r="AQ1" s="253"/>
      <c r="AR1" s="239"/>
      <c r="AS1" s="235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S1" s="126">
        <v>0</v>
      </c>
      <c r="BT1" s="126">
        <v>1</v>
      </c>
      <c r="BU1" s="127">
        <v>16.9</v>
      </c>
      <c r="BV1" s="128">
        <v>0</v>
      </c>
      <c r="BW1" s="127">
        <v>0</v>
      </c>
      <c r="BX1" s="129">
        <f>BU1*BV1*0.01*10</f>
        <v>0</v>
      </c>
      <c r="BY1" s="129">
        <f>BW1-BX1</f>
        <v>0</v>
      </c>
      <c r="BZ1" s="129">
        <v>0</v>
      </c>
      <c r="CA1" s="130">
        <f>IF(BY1&lt;0,1,0)</f>
        <v>0</v>
      </c>
      <c r="CB1" s="130">
        <f aca="true" t="shared" si="0" ref="CB1:CJ1">IF(AND(CD12=1,CA1=0),1,0)</f>
        <v>0</v>
      </c>
      <c r="CC1" s="130">
        <f t="shared" si="0"/>
        <v>0</v>
      </c>
      <c r="CD1" s="130">
        <f t="shared" si="0"/>
        <v>0</v>
      </c>
      <c r="CE1" s="130">
        <f t="shared" si="0"/>
        <v>0</v>
      </c>
      <c r="CF1" s="130">
        <f t="shared" si="0"/>
        <v>0</v>
      </c>
      <c r="CG1" s="130">
        <f t="shared" si="0"/>
        <v>0</v>
      </c>
      <c r="CH1" s="130">
        <f t="shared" si="0"/>
        <v>0</v>
      </c>
      <c r="CI1" s="130">
        <f t="shared" si="0"/>
        <v>0</v>
      </c>
      <c r="CJ1" s="130">
        <f t="shared" si="0"/>
        <v>0</v>
      </c>
      <c r="CK1" s="130">
        <f>IF(AND(CO12=1,CJ1=0),1,0)</f>
        <v>0</v>
      </c>
      <c r="CL1" s="130">
        <f>IF(AND(CM12=1,CK1=0),1,0)</f>
        <v>0</v>
      </c>
      <c r="CM1" s="130">
        <v>0</v>
      </c>
      <c r="CN1" s="130"/>
      <c r="CO1" s="130">
        <f>IF(OR(CA1=1,CB1=1,CC1=1,CD1=1,CE1=1,CF1=1,CG1=1,CH1=1,CI1=1,CJ1=1,CK1=1,CL1=1),1,0)</f>
        <v>0</v>
      </c>
      <c r="CP1" s="130">
        <f>IF(CO1=0,$CA$9,IF(BY1&lt;0,$CA$9*EXP(CQ1/$CA$9),IF(BY1&gt;0,#REF!+ABS(BY1))))</f>
        <v>135</v>
      </c>
      <c r="CQ1" s="129">
        <f>E15</f>
        <v>0</v>
      </c>
      <c r="CR1" s="131">
        <f>IF(CP1&gt;$CA$9,$CA$9,CP1)</f>
        <v>135</v>
      </c>
      <c r="CS1" s="131">
        <f>CR1-$CA$9</f>
        <v>0</v>
      </c>
      <c r="CT1" s="129">
        <f>IF(BY1&gt;0,BX1,BW1+ABS(CS1))</f>
        <v>0</v>
      </c>
      <c r="CU1" s="129">
        <f>BX1-CT1</f>
        <v>0</v>
      </c>
      <c r="CV1" s="129">
        <f>IF(CR1&lt;$CA$9,0,IF(CR1=$CA$9,BY1-CS1))</f>
        <v>0</v>
      </c>
      <c r="CW1" s="132"/>
      <c r="CX1" s="129"/>
      <c r="CY1" s="132"/>
      <c r="CZ1" s="127" t="s">
        <v>120</v>
      </c>
    </row>
    <row r="2" spans="1:103" ht="20.25">
      <c r="A2" s="239"/>
      <c r="B2" s="381" t="s">
        <v>121</v>
      </c>
      <c r="C2" s="377"/>
      <c r="D2" s="377"/>
      <c r="E2" s="378"/>
      <c r="F2" s="379"/>
      <c r="G2" s="380"/>
      <c r="H2" s="380"/>
      <c r="I2" s="380"/>
      <c r="J2" s="246"/>
      <c r="K2" s="368" t="s">
        <v>1</v>
      </c>
      <c r="L2" s="365"/>
      <c r="M2" s="241"/>
      <c r="N2" s="235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239"/>
      <c r="AB2" s="69"/>
      <c r="AC2" s="253"/>
      <c r="AD2" s="253"/>
      <c r="AE2" s="69"/>
      <c r="AF2" s="69"/>
      <c r="AG2" s="244"/>
      <c r="AH2" s="244"/>
      <c r="AI2" s="244"/>
      <c r="AJ2" s="244"/>
      <c r="AK2" s="244"/>
      <c r="AL2" s="244"/>
      <c r="AM2" s="244"/>
      <c r="AN2" s="244"/>
      <c r="AO2" s="253"/>
      <c r="AP2" s="253"/>
      <c r="AQ2" s="253"/>
      <c r="AR2" s="239"/>
      <c r="AS2" s="235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X2" s="132"/>
      <c r="BY2" s="132"/>
      <c r="BZ2" s="132"/>
      <c r="CA2" s="129"/>
      <c r="CB2" s="129"/>
      <c r="CC2" s="129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29">
        <f>IF(E15&lt;&gt;"-",E15,IF(CO2=0,0,IF(BY2&lt;0,BY2,IF(BY2&gt;0,$CA$9*LN(CR2/$CA$9)))))</f>
        <v>0</v>
      </c>
      <c r="CR2" s="132"/>
      <c r="CS2" s="132"/>
      <c r="CT2" s="132"/>
      <c r="CU2" s="132"/>
      <c r="CV2" s="132"/>
      <c r="CW2" s="129"/>
      <c r="CX2" s="129"/>
      <c r="CY2" s="132"/>
    </row>
    <row r="3" spans="1:103" ht="15">
      <c r="A3" s="239"/>
      <c r="B3" s="382"/>
      <c r="C3" s="351"/>
      <c r="D3" s="351"/>
      <c r="E3" s="385" t="s">
        <v>122</v>
      </c>
      <c r="F3" s="352"/>
      <c r="G3" s="351"/>
      <c r="H3" s="351"/>
      <c r="I3" s="351"/>
      <c r="J3" s="247"/>
      <c r="K3" s="369" t="s">
        <v>2</v>
      </c>
      <c r="L3" s="366"/>
      <c r="M3" s="239"/>
      <c r="N3" s="235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239"/>
      <c r="AB3" s="69"/>
      <c r="AC3" s="253"/>
      <c r="AD3" s="253"/>
      <c r="AE3" s="69"/>
      <c r="AF3" s="69"/>
      <c r="AG3" s="244"/>
      <c r="AH3" s="244"/>
      <c r="AI3" s="244"/>
      <c r="AJ3" s="244"/>
      <c r="AK3" s="244"/>
      <c r="AL3" s="244"/>
      <c r="AM3" s="244"/>
      <c r="AN3" s="244"/>
      <c r="AO3" s="253"/>
      <c r="AP3" s="253"/>
      <c r="AQ3" s="253"/>
      <c r="AR3" s="239"/>
      <c r="AS3" s="235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X3" s="132"/>
      <c r="BY3" s="132"/>
      <c r="BZ3" s="132"/>
      <c r="CA3" s="129"/>
      <c r="CB3" s="129"/>
      <c r="CC3" s="129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2"/>
      <c r="CR3" s="132"/>
      <c r="CS3" s="132"/>
      <c r="CT3" s="132"/>
      <c r="CU3" s="132"/>
      <c r="CV3" s="132"/>
      <c r="CW3" s="129"/>
      <c r="CX3" s="129"/>
      <c r="CY3" s="132"/>
    </row>
    <row r="4" spans="1:103" ht="15.75">
      <c r="A4" s="239"/>
      <c r="B4" s="383"/>
      <c r="C4" s="385"/>
      <c r="D4" s="351"/>
      <c r="E4" s="352" t="s">
        <v>123</v>
      </c>
      <c r="F4" s="352"/>
      <c r="G4" s="351"/>
      <c r="H4" s="351"/>
      <c r="I4" s="351"/>
      <c r="J4" s="247"/>
      <c r="K4" s="370" t="s">
        <v>124</v>
      </c>
      <c r="L4" s="366"/>
      <c r="M4" s="239"/>
      <c r="N4" s="235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239"/>
      <c r="AB4" s="69"/>
      <c r="AC4" s="253"/>
      <c r="AD4" s="253"/>
      <c r="AE4" s="69"/>
      <c r="AF4" s="69"/>
      <c r="AG4" s="244"/>
      <c r="AH4" s="244"/>
      <c r="AI4" s="244"/>
      <c r="AJ4" s="244"/>
      <c r="AK4" s="244"/>
      <c r="AL4" s="244"/>
      <c r="AM4" s="244"/>
      <c r="AN4" s="244"/>
      <c r="AO4" s="253"/>
      <c r="AP4" s="253"/>
      <c r="AQ4" s="253"/>
      <c r="AR4" s="239"/>
      <c r="AS4" s="235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S4" s="134" t="s">
        <v>125</v>
      </c>
      <c r="BX4" s="132"/>
      <c r="BY4" s="132"/>
      <c r="BZ4" s="132"/>
      <c r="CA4" s="129"/>
      <c r="CB4" s="129"/>
      <c r="CC4" s="129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2"/>
      <c r="CR4" s="132"/>
      <c r="CS4" s="132"/>
      <c r="CT4" s="132"/>
      <c r="CU4" s="132"/>
      <c r="CV4" s="132"/>
      <c r="CW4" s="129"/>
      <c r="CX4" s="129"/>
      <c r="CY4" s="132"/>
    </row>
    <row r="5" spans="1:103" ht="20.25" customHeight="1">
      <c r="A5" s="239"/>
      <c r="B5" s="357" t="s">
        <v>126</v>
      </c>
      <c r="C5" s="385"/>
      <c r="D5" s="357"/>
      <c r="E5" s="356"/>
      <c r="F5" s="357" t="s">
        <v>5</v>
      </c>
      <c r="G5" s="351"/>
      <c r="H5" s="358"/>
      <c r="I5" s="358"/>
      <c r="J5" s="248"/>
      <c r="K5" s="371" t="s">
        <v>127</v>
      </c>
      <c r="L5" s="367"/>
      <c r="M5" s="239"/>
      <c r="N5" s="235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239"/>
      <c r="AB5" s="69"/>
      <c r="AC5" s="253"/>
      <c r="AD5" s="253"/>
      <c r="AE5" s="69"/>
      <c r="AF5" s="69"/>
      <c r="AG5" s="244"/>
      <c r="AH5" s="244"/>
      <c r="AI5" s="244"/>
      <c r="AJ5" s="244"/>
      <c r="AK5" s="244"/>
      <c r="AL5" s="244"/>
      <c r="AM5" s="244"/>
      <c r="AN5" s="244"/>
      <c r="AO5" s="253"/>
      <c r="AP5" s="253"/>
      <c r="AQ5" s="253"/>
      <c r="AR5" s="239"/>
      <c r="AS5" s="235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X5" s="132"/>
      <c r="BY5" s="132"/>
      <c r="BZ5" s="132"/>
      <c r="CA5" s="129"/>
      <c r="CB5" s="129"/>
      <c r="CC5" s="129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2"/>
      <c r="CR5" s="132"/>
      <c r="CS5" s="132"/>
      <c r="CT5" s="132"/>
      <c r="CU5" s="132"/>
      <c r="CV5" s="132"/>
      <c r="CW5" s="129"/>
      <c r="CX5" s="129"/>
      <c r="CY5" s="132"/>
    </row>
    <row r="6" spans="1:103" ht="15">
      <c r="A6" s="239"/>
      <c r="B6" s="351"/>
      <c r="C6" s="351"/>
      <c r="D6" s="351"/>
      <c r="E6" s="683" t="s">
        <v>9</v>
      </c>
      <c r="F6" s="351"/>
      <c r="G6" s="351"/>
      <c r="H6" s="351"/>
      <c r="I6" s="387" t="s">
        <v>10</v>
      </c>
      <c r="J6" s="384"/>
      <c r="K6" s="294"/>
      <c r="L6" s="69"/>
      <c r="M6" s="253"/>
      <c r="N6" s="235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239"/>
      <c r="AB6" s="69"/>
      <c r="AC6" s="253"/>
      <c r="AD6" s="253"/>
      <c r="AE6" s="69"/>
      <c r="AF6" s="69"/>
      <c r="AG6" s="244"/>
      <c r="AH6" s="244"/>
      <c r="AI6" s="244"/>
      <c r="AJ6" s="244"/>
      <c r="AK6" s="244"/>
      <c r="AL6" s="244"/>
      <c r="AM6" s="244"/>
      <c r="AN6" s="244"/>
      <c r="AO6" s="253"/>
      <c r="AP6" s="253"/>
      <c r="AQ6" s="253"/>
      <c r="AR6" s="239"/>
      <c r="AS6" s="235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X6" s="132"/>
      <c r="BY6" s="132"/>
      <c r="BZ6" s="132"/>
      <c r="CA6" s="129"/>
      <c r="CB6" s="129"/>
      <c r="CC6" s="129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2"/>
      <c r="CR6" s="132"/>
      <c r="CS6" s="132"/>
      <c r="CT6" s="132"/>
      <c r="CU6" s="132"/>
      <c r="CV6" s="132"/>
      <c r="CW6" s="129"/>
      <c r="CX6" s="129"/>
      <c r="CY6" s="132"/>
    </row>
    <row r="7" spans="1:103" ht="3.75" customHeight="1">
      <c r="A7" s="239"/>
      <c r="B7" s="388"/>
      <c r="C7" s="386"/>
      <c r="D7" s="386"/>
      <c r="E7" s="239"/>
      <c r="F7" s="239"/>
      <c r="G7" s="246"/>
      <c r="H7" s="246"/>
      <c r="I7" s="246"/>
      <c r="J7" s="246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</row>
    <row r="8" spans="1:103" ht="12.75" customHeight="1">
      <c r="A8" s="239"/>
      <c r="B8" s="239"/>
      <c r="C8" s="239"/>
      <c r="D8" s="239"/>
      <c r="E8" s="239"/>
      <c r="F8" s="239"/>
      <c r="G8" s="239"/>
      <c r="H8" s="295"/>
      <c r="I8" s="295"/>
      <c r="J8" s="239"/>
      <c r="K8" s="235"/>
      <c r="L8" s="235"/>
      <c r="M8" s="253"/>
      <c r="N8" s="253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</row>
    <row r="9" spans="1:94" ht="15.75" customHeight="1">
      <c r="A9" s="239"/>
      <c r="B9" s="428" t="s">
        <v>11</v>
      </c>
      <c r="C9" s="468" t="s">
        <v>128</v>
      </c>
      <c r="D9" s="469"/>
      <c r="E9" s="470"/>
      <c r="F9" s="239"/>
      <c r="G9" s="428" t="s">
        <v>13</v>
      </c>
      <c r="H9" s="441">
        <v>-22.72</v>
      </c>
      <c r="I9" s="570">
        <f>IF(OR(H9&lt;-90,H9&gt;90),"ERRO! ( -90 &lt; LAT &lt; +90)","")</f>
      </c>
      <c r="J9" s="239"/>
      <c r="K9" s="239"/>
      <c r="L9" s="573">
        <f>IF(OR(H9&lt;-90,H9&gt;90),0,H9)</f>
        <v>-22.72</v>
      </c>
      <c r="M9" s="239"/>
      <c r="N9" s="239"/>
      <c r="O9" s="303"/>
      <c r="P9" s="303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304"/>
      <c r="AB9" s="245"/>
      <c r="AC9" s="253"/>
      <c r="AD9" s="253"/>
      <c r="AE9" s="69"/>
      <c r="AF9" s="69"/>
      <c r="AG9" s="253"/>
      <c r="AH9" s="253"/>
      <c r="AI9" s="253"/>
      <c r="AJ9" s="253"/>
      <c r="AK9" s="253"/>
      <c r="AL9" s="253"/>
      <c r="AM9" s="253"/>
      <c r="AN9" s="244"/>
      <c r="AO9" s="253"/>
      <c r="AP9" s="253"/>
      <c r="AQ9" s="253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CA9" s="129">
        <f>IF(C11&lt;0,-C11,C11)</f>
        <v>135</v>
      </c>
      <c r="CB9" s="138"/>
      <c r="CC9" s="129" t="str">
        <f>IF(E14&lt;=0,0.00001,E14)</f>
        <v>=</v>
      </c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</row>
    <row r="10" spans="1:94" ht="4.5" customHeight="1">
      <c r="A10" s="239"/>
      <c r="B10" s="239"/>
      <c r="C10" s="239"/>
      <c r="D10" s="239"/>
      <c r="E10" s="239"/>
      <c r="F10" s="239"/>
      <c r="G10" s="239"/>
      <c r="I10" s="239"/>
      <c r="J10" s="239"/>
      <c r="K10" s="239"/>
      <c r="L10" s="239"/>
      <c r="M10" s="239"/>
      <c r="N10" s="239"/>
      <c r="O10" s="235"/>
      <c r="P10" s="235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245"/>
      <c r="AC10" s="253"/>
      <c r="AD10" s="253"/>
      <c r="AE10" s="69"/>
      <c r="AF10" s="69"/>
      <c r="AG10" s="253"/>
      <c r="AH10" s="253"/>
      <c r="AI10" s="253"/>
      <c r="AJ10" s="253"/>
      <c r="AK10" s="253"/>
      <c r="AL10" s="253"/>
      <c r="AM10" s="253"/>
      <c r="AN10" s="244"/>
      <c r="AO10" s="253"/>
      <c r="AP10" s="253"/>
      <c r="AQ10" s="253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CA10" s="132"/>
      <c r="CB10" s="132"/>
      <c r="CC10" s="132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</row>
    <row r="11" spans="1:94" ht="15.75" customHeight="1">
      <c r="A11" s="239"/>
      <c r="B11" s="432" t="s">
        <v>14</v>
      </c>
      <c r="C11" s="424">
        <v>135</v>
      </c>
      <c r="D11" s="569">
        <f>IF(C11&lt;=0,"ERRO! ( CAD &gt; 0)","")</f>
      </c>
      <c r="E11" s="239"/>
      <c r="F11" s="239"/>
      <c r="G11" s="437" t="s">
        <v>15</v>
      </c>
      <c r="H11" s="438">
        <v>1998</v>
      </c>
      <c r="I11" s="239"/>
      <c r="J11" s="450" t="s">
        <v>129</v>
      </c>
      <c r="K11" s="451">
        <v>108.4</v>
      </c>
      <c r="L11" s="239"/>
      <c r="M11" s="239"/>
      <c r="N11" s="23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245"/>
      <c r="AC11" s="253"/>
      <c r="AD11" s="253"/>
      <c r="AE11" s="69"/>
      <c r="AF11" s="69"/>
      <c r="AG11" s="253"/>
      <c r="AH11" s="253"/>
      <c r="AI11" s="253"/>
      <c r="AJ11" s="253"/>
      <c r="AK11" s="253"/>
      <c r="AL11" s="253"/>
      <c r="AM11" s="253"/>
      <c r="AN11" s="244"/>
      <c r="AO11" s="253"/>
      <c r="AP11" s="253"/>
      <c r="AQ11" s="253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CA11" s="129">
        <f>IF(E14&lt;&gt;"=",CC9,$CA$9)</f>
        <v>135</v>
      </c>
      <c r="CB11" s="129"/>
      <c r="CC11" s="129" t="s">
        <v>130</v>
      </c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>
        <f>IF(E14="=",$CA$9,CC9)</f>
        <v>135</v>
      </c>
    </row>
    <row r="12" spans="1:94" ht="4.5" customHeight="1">
      <c r="A12" s="239"/>
      <c r="B12" s="296" t="s">
        <v>18</v>
      </c>
      <c r="C12" s="297" t="s">
        <v>18</v>
      </c>
      <c r="D12" s="298" t="s">
        <v>18</v>
      </c>
      <c r="E12" s="239"/>
      <c r="F12" s="239"/>
      <c r="G12" s="239"/>
      <c r="I12" s="239"/>
      <c r="J12" s="454"/>
      <c r="K12" s="455"/>
      <c r="L12" s="301"/>
      <c r="M12" s="302"/>
      <c r="N12" s="244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245"/>
      <c r="AC12" s="253"/>
      <c r="AD12" s="253"/>
      <c r="AE12" s="69"/>
      <c r="AF12" s="69"/>
      <c r="AG12" s="253"/>
      <c r="AH12" s="253"/>
      <c r="AI12" s="253"/>
      <c r="AJ12" s="253"/>
      <c r="AK12" s="253"/>
      <c r="AL12" s="253"/>
      <c r="AM12" s="253"/>
      <c r="AN12" s="244"/>
      <c r="AO12" s="253"/>
      <c r="AP12" s="253"/>
      <c r="AQ12" s="253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CA12" s="132"/>
      <c r="CB12" s="132"/>
      <c r="CC12" s="132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</row>
    <row r="13" spans="1:94" ht="15.75">
      <c r="A13" s="239"/>
      <c r="B13" s="135" t="s">
        <v>131</v>
      </c>
      <c r="C13" s="177"/>
      <c r="D13" s="136"/>
      <c r="E13" s="137"/>
      <c r="F13" s="239"/>
      <c r="G13" s="437" t="s">
        <v>20</v>
      </c>
      <c r="H13" s="438">
        <v>1</v>
      </c>
      <c r="J13" s="452" t="s">
        <v>132</v>
      </c>
      <c r="K13" s="453">
        <v>2.4</v>
      </c>
      <c r="L13" s="301"/>
      <c r="M13" s="302"/>
      <c r="N13" s="244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245"/>
      <c r="AC13" s="253"/>
      <c r="AD13" s="253"/>
      <c r="AE13" s="69"/>
      <c r="AF13" s="69"/>
      <c r="AG13" s="253"/>
      <c r="AH13" s="253"/>
      <c r="AI13" s="253"/>
      <c r="AJ13" s="253"/>
      <c r="AK13" s="253"/>
      <c r="AL13" s="253"/>
      <c r="AM13" s="253"/>
      <c r="AN13" s="244"/>
      <c r="AO13" s="253"/>
      <c r="AP13" s="253"/>
      <c r="AQ13" s="253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CA13" s="132"/>
      <c r="CB13" s="132"/>
      <c r="CC13" s="132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</row>
    <row r="14" spans="1:94" ht="15.75" customHeight="1">
      <c r="A14" s="239"/>
      <c r="B14" s="187" t="s">
        <v>133</v>
      </c>
      <c r="C14" s="188"/>
      <c r="D14" s="189"/>
      <c r="E14" s="140" t="s">
        <v>134</v>
      </c>
      <c r="F14" s="239"/>
      <c r="G14" s="568">
        <f>IF(OR(H13&lt;1,H13&gt;365),"ERRO! ( 1&lt;NDA&lt;365 )","")</f>
      </c>
      <c r="H14" s="239"/>
      <c r="I14" s="239"/>
      <c r="J14" s="239"/>
      <c r="K14" s="239"/>
      <c r="L14" s="301"/>
      <c r="M14" s="302"/>
      <c r="N14" s="244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245"/>
      <c r="AC14" s="253"/>
      <c r="AD14" s="253"/>
      <c r="AE14" s="69"/>
      <c r="AF14" s="69"/>
      <c r="AG14" s="253"/>
      <c r="AH14" s="253"/>
      <c r="AI14" s="253"/>
      <c r="AJ14" s="253"/>
      <c r="AK14" s="253"/>
      <c r="AL14" s="253"/>
      <c r="AM14" s="253"/>
      <c r="AN14" s="244"/>
      <c r="AO14" s="253"/>
      <c r="AP14" s="253"/>
      <c r="AQ14" s="253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CA14" s="132"/>
      <c r="CB14" s="132"/>
      <c r="CC14" s="132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</row>
    <row r="15" spans="1:94" ht="15">
      <c r="A15" s="239"/>
      <c r="B15" s="190" t="s">
        <v>135</v>
      </c>
      <c r="C15" s="191"/>
      <c r="D15" s="192"/>
      <c r="E15" s="193">
        <f>IF(E14&lt;&gt;"=",C11*LN(CC9/C11),0)</f>
        <v>0</v>
      </c>
      <c r="F15" s="239"/>
      <c r="G15" s="239"/>
      <c r="H15" s="239"/>
      <c r="I15" s="239"/>
      <c r="J15" s="239"/>
      <c r="K15" s="239"/>
      <c r="L15" s="301"/>
      <c r="M15" s="302"/>
      <c r="N15" s="244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245"/>
      <c r="AC15" s="253"/>
      <c r="AD15" s="253"/>
      <c r="AE15" s="69"/>
      <c r="AF15" s="69"/>
      <c r="AG15" s="253"/>
      <c r="AH15" s="253"/>
      <c r="AI15" s="253"/>
      <c r="AJ15" s="253"/>
      <c r="AK15" s="253"/>
      <c r="AL15" s="253"/>
      <c r="AM15" s="253"/>
      <c r="AN15" s="244"/>
      <c r="AO15" s="253"/>
      <c r="AP15" s="253"/>
      <c r="AQ15" s="253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CA15" s="132"/>
      <c r="CB15" s="132"/>
      <c r="CC15" s="132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</row>
    <row r="16" spans="1:102" ht="13.5" thickBot="1">
      <c r="A16" s="239"/>
      <c r="B16" s="239"/>
      <c r="C16" s="239"/>
      <c r="D16" s="299"/>
      <c r="E16" s="299"/>
      <c r="F16" s="300"/>
      <c r="G16" s="300"/>
      <c r="H16" s="300"/>
      <c r="I16" s="300"/>
      <c r="J16" s="300"/>
      <c r="K16" s="300"/>
      <c r="L16" s="300"/>
      <c r="M16" s="239"/>
      <c r="N16" s="252"/>
      <c r="O16" s="10"/>
      <c r="P16" s="30" t="s">
        <v>24</v>
      </c>
      <c r="Q16" s="31"/>
      <c r="R16" s="31"/>
      <c r="S16" s="31"/>
      <c r="T16" s="239"/>
      <c r="U16" s="69"/>
      <c r="V16" s="69"/>
      <c r="W16" s="69"/>
      <c r="X16" s="69"/>
      <c r="Y16" s="69"/>
      <c r="Z16" s="69"/>
      <c r="AA16" s="239"/>
      <c r="AB16" s="245"/>
      <c r="AC16" s="253"/>
      <c r="AD16" s="253"/>
      <c r="AE16" s="69"/>
      <c r="AF16" s="69"/>
      <c r="AG16" s="253"/>
      <c r="AH16" s="253"/>
      <c r="AI16" s="253"/>
      <c r="AJ16" s="253"/>
      <c r="AK16" s="253"/>
      <c r="AL16" s="253"/>
      <c r="AM16" s="253"/>
      <c r="AN16" s="244"/>
      <c r="AO16" s="253"/>
      <c r="AP16" s="253"/>
      <c r="AQ16" s="253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CA16" s="127"/>
      <c r="CB16" s="127"/>
      <c r="CC16" s="127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W16" s="141"/>
      <c r="CX16" s="142" t="s">
        <v>18</v>
      </c>
    </row>
    <row r="17" spans="1:103" ht="15">
      <c r="A17" s="239"/>
      <c r="B17" s="143" t="s">
        <v>136</v>
      </c>
      <c r="C17" s="181" t="s">
        <v>137</v>
      </c>
      <c r="D17" s="543" t="s">
        <v>27</v>
      </c>
      <c r="E17" s="182" t="s">
        <v>28</v>
      </c>
      <c r="F17" s="183" t="s">
        <v>29</v>
      </c>
      <c r="G17" s="115" t="s">
        <v>30</v>
      </c>
      <c r="H17" s="145" t="s">
        <v>32</v>
      </c>
      <c r="I17" s="145" t="s">
        <v>33</v>
      </c>
      <c r="J17" s="145" t="s">
        <v>37</v>
      </c>
      <c r="K17" s="144" t="s">
        <v>38</v>
      </c>
      <c r="L17" s="144" t="s">
        <v>39</v>
      </c>
      <c r="M17" s="145" t="s">
        <v>40</v>
      </c>
      <c r="N17" s="145" t="s">
        <v>41</v>
      </c>
      <c r="O17" s="146" t="s">
        <v>42</v>
      </c>
      <c r="P17" s="178"/>
      <c r="Q17" s="218" t="s">
        <v>138</v>
      </c>
      <c r="R17" s="209"/>
      <c r="S17" s="209"/>
      <c r="T17" s="179"/>
      <c r="U17" s="199"/>
      <c r="V17" s="199"/>
      <c r="W17" s="199"/>
      <c r="X17" s="200"/>
      <c r="Y17" s="282"/>
      <c r="Z17" s="282"/>
      <c r="AA17" s="397" t="s">
        <v>79</v>
      </c>
      <c r="AB17" s="398"/>
      <c r="AC17" s="399"/>
      <c r="AD17" s="97"/>
      <c r="AE17" s="293"/>
      <c r="AF17" s="239"/>
      <c r="AG17" s="239"/>
      <c r="AH17" s="239"/>
      <c r="AI17" s="293"/>
      <c r="AJ17" s="293"/>
      <c r="AK17" s="293"/>
      <c r="AL17" s="293"/>
      <c r="AM17" s="293"/>
      <c r="AN17" s="293"/>
      <c r="AO17" s="389" t="s">
        <v>79</v>
      </c>
      <c r="AP17" s="390" t="str">
        <f>F17</f>
        <v>P</v>
      </c>
      <c r="AQ17" s="391" t="str">
        <f>H17</f>
        <v>ETP</v>
      </c>
      <c r="AR17" s="392" t="str">
        <f>M17</f>
        <v>ETR</v>
      </c>
      <c r="AS17" s="235"/>
      <c r="AT17" s="239"/>
      <c r="AU17" s="239"/>
      <c r="AV17" s="239"/>
      <c r="AW17" s="239"/>
      <c r="AX17" s="239"/>
      <c r="AY17" s="239"/>
      <c r="AZ17" s="239"/>
      <c r="BA17" s="239"/>
      <c r="BB17" s="403" t="s">
        <v>79</v>
      </c>
      <c r="BC17" s="398"/>
      <c r="BD17" s="39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CA17" s="147" t="s">
        <v>139</v>
      </c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 t="s">
        <v>140</v>
      </c>
      <c r="CN17" s="147" t="s">
        <v>141</v>
      </c>
      <c r="CO17" s="147" t="s">
        <v>18</v>
      </c>
      <c r="CP17" s="147" t="s">
        <v>38</v>
      </c>
      <c r="CQ17" s="148"/>
      <c r="CR17" s="148"/>
      <c r="CS17" s="148"/>
      <c r="CT17" s="148"/>
      <c r="CU17" s="148"/>
      <c r="CV17" s="148"/>
      <c r="CW17" s="149" t="s">
        <v>142</v>
      </c>
      <c r="CX17" s="149" t="s">
        <v>142</v>
      </c>
      <c r="CY17" s="150"/>
    </row>
    <row r="18" spans="1:103" ht="15.75" thickBot="1">
      <c r="A18" s="239"/>
      <c r="B18" s="456" t="s">
        <v>143</v>
      </c>
      <c r="C18" s="457" t="s">
        <v>144</v>
      </c>
      <c r="D18" s="208" t="s">
        <v>18</v>
      </c>
      <c r="E18" s="184" t="s">
        <v>145</v>
      </c>
      <c r="F18" s="185" t="s">
        <v>47</v>
      </c>
      <c r="G18" s="180" t="s">
        <v>48</v>
      </c>
      <c r="H18" s="186" t="s">
        <v>146</v>
      </c>
      <c r="I18" s="151" t="s">
        <v>47</v>
      </c>
      <c r="J18" s="151"/>
      <c r="K18" s="152" t="s">
        <v>47</v>
      </c>
      <c r="L18" s="152" t="s">
        <v>47</v>
      </c>
      <c r="M18" s="151" t="s">
        <v>47</v>
      </c>
      <c r="N18" s="151" t="s">
        <v>47</v>
      </c>
      <c r="O18" s="153" t="s">
        <v>47</v>
      </c>
      <c r="P18" s="154"/>
      <c r="Q18" s="210" t="s">
        <v>54</v>
      </c>
      <c r="R18" s="211" t="s">
        <v>55</v>
      </c>
      <c r="S18" s="211" t="s">
        <v>30</v>
      </c>
      <c r="T18" s="201"/>
      <c r="U18" s="201"/>
      <c r="V18" s="201"/>
      <c r="W18" s="201"/>
      <c r="X18" s="202"/>
      <c r="Y18" s="282"/>
      <c r="Z18" s="282"/>
      <c r="AA18" s="400" t="str">
        <f>B18</f>
        <v>DECENDIOS</v>
      </c>
      <c r="AB18" s="401" t="s">
        <v>81</v>
      </c>
      <c r="AC18" s="402" t="s">
        <v>42</v>
      </c>
      <c r="AD18" s="97"/>
      <c r="AE18" s="293"/>
      <c r="AF18" s="239"/>
      <c r="AG18" s="239"/>
      <c r="AH18" s="239"/>
      <c r="AI18" s="293"/>
      <c r="AJ18" s="293"/>
      <c r="AK18" s="293"/>
      <c r="AL18" s="293"/>
      <c r="AM18" s="293"/>
      <c r="AN18" s="293"/>
      <c r="AO18" s="393" t="str">
        <f>B18</f>
        <v>DECENDIOS</v>
      </c>
      <c r="AP18" s="394" t="str">
        <f>F18</f>
        <v>mm</v>
      </c>
      <c r="AQ18" s="395" t="str">
        <f aca="true" t="shared" si="1" ref="AQ18:AQ67">H18</f>
        <v>Thornthwaite1948</v>
      </c>
      <c r="AR18" s="396" t="str">
        <f aca="true" t="shared" si="2" ref="AR18:AR67">M18</f>
        <v>mm</v>
      </c>
      <c r="AS18" s="235"/>
      <c r="AT18" s="239"/>
      <c r="AU18" s="239"/>
      <c r="AV18" s="239"/>
      <c r="AW18" s="239"/>
      <c r="AX18" s="239"/>
      <c r="AY18" s="239"/>
      <c r="AZ18" s="239"/>
      <c r="BA18" s="239"/>
      <c r="BB18" s="404" t="s">
        <v>147</v>
      </c>
      <c r="BC18" s="405" t="s">
        <v>14</v>
      </c>
      <c r="BD18" s="406" t="s">
        <v>38</v>
      </c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 t="s">
        <v>148</v>
      </c>
      <c r="CO18" s="147"/>
      <c r="CP18" s="147" t="s">
        <v>52</v>
      </c>
      <c r="CQ18" s="148"/>
      <c r="CR18" s="148"/>
      <c r="CS18" s="148"/>
      <c r="CT18" s="148"/>
      <c r="CU18" s="148"/>
      <c r="CV18" s="148"/>
      <c r="CW18" s="155" t="s">
        <v>149</v>
      </c>
      <c r="CX18" s="155" t="s">
        <v>150</v>
      </c>
      <c r="CY18" s="147"/>
    </row>
    <row r="19" spans="1:104" ht="12.75">
      <c r="A19" s="239"/>
      <c r="B19" s="156" t="s">
        <v>92</v>
      </c>
      <c r="C19" s="114">
        <v>8</v>
      </c>
      <c r="D19" s="233">
        <f>IF(H13&lt;1,1,IF(H13&gt;365,365,H13))</f>
        <v>1</v>
      </c>
      <c r="E19" s="157">
        <v>24</v>
      </c>
      <c r="F19" s="157">
        <v>50</v>
      </c>
      <c r="G19" s="464">
        <f aca="true" t="shared" si="3" ref="G19:G50">S19</f>
        <v>13.365832982645788</v>
      </c>
      <c r="H19" s="195">
        <f aca="true" t="shared" si="4" ref="H19:H50">16*((10*(E19/$K$11))^$K$13)*(G19/12)*(C19/30)</f>
        <v>32.01401924285602</v>
      </c>
      <c r="I19" s="158">
        <f>IF(CY19=1,F19-H19,"")</f>
        <v>17.985980757143977</v>
      </c>
      <c r="J19" s="158">
        <f>IF(CY19=1,IF(CO19=0,0,IF(I19&lt;0,CQ1+I19,IF(I19&gt;0,$CA$9*LN(K19/$CA$9)))),"")</f>
        <v>0</v>
      </c>
      <c r="K19" s="159">
        <f>IF(CY19=1,IF(I19&gt;0,IF((I19+CA11)&gt;C11,C11,I19+CA11),IF(CP19&gt;$CA$9,$CA$9,CP19)),"")</f>
        <v>135</v>
      </c>
      <c r="L19" s="159">
        <f>IF(CY19=1,K19-CA11,"")</f>
        <v>0</v>
      </c>
      <c r="M19" s="158">
        <f>IF(CY19=1,IF(AND(I19&gt;=0,L19&gt;=0),H19,F19+ABS(L19)),"")</f>
        <v>32.01401924285602</v>
      </c>
      <c r="N19" s="71">
        <f aca="true" t="shared" si="5" ref="N19:N50">IF(CY19=1,H19-M19,"")</f>
        <v>0</v>
      </c>
      <c r="O19" s="160">
        <f>IF(CY19=1,IF(K19&lt;$CA$9,0,IF(K19=$CA$9,ABS(I19-L19))),"")</f>
        <v>17.985980757143977</v>
      </c>
      <c r="P19" s="161"/>
      <c r="Q19" s="124">
        <f aca="true" t="shared" si="6" ref="Q19:Q50">23.45*SIN(RADIANS((360/365)*(D19-81)))</f>
        <v>-23.011636727869238</v>
      </c>
      <c r="R19" s="124">
        <f>ACOS(-TAN(RADIANS($L$9))*TAN(RADIANS(Q19)))*180/PI()</f>
        <v>100.2437473698434</v>
      </c>
      <c r="S19" s="124">
        <f>2*R19/15</f>
        <v>13.365832982645788</v>
      </c>
      <c r="U19" s="203"/>
      <c r="V19" s="203"/>
      <c r="W19" s="203"/>
      <c r="X19" s="204"/>
      <c r="Y19" s="69"/>
      <c r="Z19" s="69"/>
      <c r="AA19" s="319" t="str">
        <f>B19</f>
        <v>J1</v>
      </c>
      <c r="AB19" s="69">
        <f aca="true" t="shared" si="7" ref="AB19:AB54">IF(O19&lt;&gt;N19,N19*-1,0)</f>
        <v>0</v>
      </c>
      <c r="AC19" s="320">
        <f aca="true" t="shared" si="8" ref="AC19:AC54">IF(O19&lt;&gt;N19,O19,0)</f>
        <v>17.985980757143977</v>
      </c>
      <c r="AD19" s="69"/>
      <c r="AE19" s="244"/>
      <c r="AF19" s="239"/>
      <c r="AG19" s="239"/>
      <c r="AH19" s="239"/>
      <c r="AI19" s="244"/>
      <c r="AJ19" s="244"/>
      <c r="AK19" s="244"/>
      <c r="AL19" s="244"/>
      <c r="AM19" s="244"/>
      <c r="AN19" s="244"/>
      <c r="AO19" s="321" t="str">
        <f>B19</f>
        <v>J1</v>
      </c>
      <c r="AP19" s="73">
        <f>F19</f>
        <v>50</v>
      </c>
      <c r="AQ19" s="322">
        <f t="shared" si="1"/>
        <v>32.01401924285602</v>
      </c>
      <c r="AR19" s="323">
        <f t="shared" si="2"/>
        <v>32.01401924285602</v>
      </c>
      <c r="AS19" s="235"/>
      <c r="AT19" s="239"/>
      <c r="AU19" s="239"/>
      <c r="AV19" s="239"/>
      <c r="AW19" s="239"/>
      <c r="AX19" s="239"/>
      <c r="AY19" s="239"/>
      <c r="AZ19" s="239"/>
      <c r="BA19" s="239"/>
      <c r="BB19" s="324" t="str">
        <f>B19</f>
        <v>J1</v>
      </c>
      <c r="BC19" s="325">
        <f aca="true" t="shared" si="9" ref="BC19:BC50">$C$11</f>
        <v>135</v>
      </c>
      <c r="BD19" s="326">
        <f>K19</f>
        <v>135</v>
      </c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CA19" s="162">
        <f aca="true" t="shared" si="10" ref="CA19:CA54">IF(I19&lt;0,1,0)</f>
        <v>0</v>
      </c>
      <c r="CB19" s="162">
        <f aca="true" t="shared" si="11" ref="CB19:CL19">IF(AND(CA17=1,CA19=0),1,0)</f>
        <v>0</v>
      </c>
      <c r="CC19" s="162">
        <f t="shared" si="11"/>
        <v>0</v>
      </c>
      <c r="CD19" s="162">
        <f t="shared" si="11"/>
        <v>0</v>
      </c>
      <c r="CE19" s="162">
        <f t="shared" si="11"/>
        <v>0</v>
      </c>
      <c r="CF19" s="162">
        <f t="shared" si="11"/>
        <v>0</v>
      </c>
      <c r="CG19" s="162">
        <f t="shared" si="11"/>
        <v>0</v>
      </c>
      <c r="CH19" s="162">
        <f t="shared" si="11"/>
        <v>0</v>
      </c>
      <c r="CI19" s="162">
        <f t="shared" si="11"/>
        <v>0</v>
      </c>
      <c r="CJ19" s="162">
        <f t="shared" si="11"/>
        <v>0</v>
      </c>
      <c r="CK19" s="162">
        <f t="shared" si="11"/>
        <v>0</v>
      </c>
      <c r="CL19" s="162">
        <f t="shared" si="11"/>
        <v>0</v>
      </c>
      <c r="CM19" s="162">
        <f>IF(AND($CX$93=1,OR(CW19=$CW$92,CM1=1)),1,0)</f>
        <v>0</v>
      </c>
      <c r="CN19" s="162">
        <f aca="true" t="shared" si="12" ref="CN19:CN50">IF(AND(CM19=1,CM18=0),I19,0)</f>
        <v>0</v>
      </c>
      <c r="CO19" s="162">
        <f>IF(OR(CA19=1,CB19=1,CC19=1,CD19=1,CE19=1,CF19=1,CG19=1,CH19=1,CI19=1,CJ19=1,CK19=1,CL19=1,CM19=1,AND(I19&gt;0,CA11&lt;&gt;0)),1,0)</f>
        <v>1</v>
      </c>
      <c r="CP19" s="163">
        <f>IF(CY19=1,IF(CO19=0,IF($CX$93=1,$CN$92,$CA$9),IF(I19&lt;0,$CA$9*EXP(J19/$CA$9),IF(I19&gt;0,CP1+I19))),"")</f>
        <v>152.98598075714398</v>
      </c>
      <c r="CQ19" s="164"/>
      <c r="CR19" s="164"/>
      <c r="CS19" s="164"/>
      <c r="CT19" s="164"/>
      <c r="CU19" s="164"/>
      <c r="CV19" s="164"/>
      <c r="CW19" s="165">
        <f>IF(I19&lt;0,0,I19+BZ1)</f>
        <v>17.985980757143977</v>
      </c>
      <c r="CX19" s="165">
        <f>IF(I19&lt;0,CX1,BX1+I19)</f>
        <v>17.985980757143977</v>
      </c>
      <c r="CY19" s="162">
        <f>IF(OR(B19="fim",BT1=0),0,1)</f>
        <v>1</v>
      </c>
      <c r="CZ19" s="164"/>
    </row>
    <row r="20" spans="1:104" ht="12.75">
      <c r="A20" s="239"/>
      <c r="B20" s="166" t="s">
        <v>93</v>
      </c>
      <c r="C20" s="114">
        <v>8</v>
      </c>
      <c r="D20" s="233">
        <f aca="true" t="shared" si="13" ref="D20:D83">IF(D19+C19&gt;365,((D19+C19)-365),D19+C19)</f>
        <v>9</v>
      </c>
      <c r="E20" s="157">
        <v>24</v>
      </c>
      <c r="F20" s="157">
        <v>100</v>
      </c>
      <c r="G20" s="464">
        <f t="shared" si="3"/>
        <v>13.310132680193936</v>
      </c>
      <c r="H20" s="195">
        <f t="shared" si="4"/>
        <v>31.88060514462198</v>
      </c>
      <c r="I20" s="71">
        <f>IF(CY20=1,F20-H20,"")</f>
        <v>68.11939485537802</v>
      </c>
      <c r="J20" s="71">
        <f aca="true" t="shared" si="14" ref="J20:J67">IF(CY20=1,IF(CO20=0,0,IF(I20&lt;0,J19+I20,IF(I20&gt;0,$CA$9*LN(K20/$CA$9)))),"")</f>
        <v>0</v>
      </c>
      <c r="K20" s="73">
        <f aca="true" t="shared" si="15" ref="K20:K54">IF(CY20=1,IF(CP20&gt;$CA$9,$CA$9,CP20),"")</f>
        <v>135</v>
      </c>
      <c r="L20" s="73">
        <f aca="true" t="shared" si="16" ref="L20:L67">IF(CY20=1,K20-K19,"")</f>
        <v>0</v>
      </c>
      <c r="M20" s="71">
        <f aca="true" t="shared" si="17" ref="M20:M67">IF(CY20=1,IF(I20&gt;=0,H20,F20+ABS(L20)),"")</f>
        <v>31.88060514462198</v>
      </c>
      <c r="N20" s="71">
        <f t="shared" si="5"/>
        <v>0</v>
      </c>
      <c r="O20" s="167">
        <f aca="true" t="shared" si="18" ref="O20:O67">IF(CY20=1,IF(K20&lt;$CA$9,0,IF(K20=$CA$9,I20-L20)),"")</f>
        <v>68.11939485537802</v>
      </c>
      <c r="P20" s="168"/>
      <c r="Q20" s="124">
        <f t="shared" si="6"/>
        <v>-22.174235285166493</v>
      </c>
      <c r="R20" s="124">
        <f aca="true" t="shared" si="19" ref="R20:R83">ACOS(-TAN(RADIANS($L$9))*TAN(RADIANS(Q20)))*180/PI()</f>
        <v>99.82599510145452</v>
      </c>
      <c r="S20" s="124">
        <f aca="true" t="shared" si="20" ref="S20:S83">2*R20/15</f>
        <v>13.310132680193936</v>
      </c>
      <c r="U20" s="203"/>
      <c r="V20" s="203"/>
      <c r="W20" s="203"/>
      <c r="X20" s="204"/>
      <c r="Y20" s="69"/>
      <c r="Z20" s="69"/>
      <c r="AA20" s="319" t="str">
        <f aca="true" t="shared" si="21" ref="AA20:AA67">B20</f>
        <v>J2</v>
      </c>
      <c r="AB20" s="69">
        <f t="shared" si="7"/>
        <v>0</v>
      </c>
      <c r="AC20" s="320">
        <f t="shared" si="8"/>
        <v>68.11939485537802</v>
      </c>
      <c r="AD20" s="69"/>
      <c r="AE20" s="244"/>
      <c r="AF20" s="239"/>
      <c r="AG20" s="239"/>
      <c r="AH20" s="239"/>
      <c r="AI20" s="244"/>
      <c r="AJ20" s="244"/>
      <c r="AK20" s="244"/>
      <c r="AL20" s="244"/>
      <c r="AM20" s="244"/>
      <c r="AN20" s="244"/>
      <c r="AO20" s="321" t="str">
        <f aca="true" t="shared" si="22" ref="AO20:AO67">B20</f>
        <v>J2</v>
      </c>
      <c r="AP20" s="73">
        <f aca="true" t="shared" si="23" ref="AP20:AP67">F20</f>
        <v>100</v>
      </c>
      <c r="AQ20" s="322">
        <f t="shared" si="1"/>
        <v>31.88060514462198</v>
      </c>
      <c r="AR20" s="323">
        <f t="shared" si="2"/>
        <v>31.88060514462198</v>
      </c>
      <c r="AS20" s="235"/>
      <c r="AT20" s="239"/>
      <c r="AU20" s="239"/>
      <c r="AV20" s="239"/>
      <c r="AW20" s="239"/>
      <c r="AX20" s="239"/>
      <c r="AY20" s="239"/>
      <c r="AZ20" s="239"/>
      <c r="BA20" s="239"/>
      <c r="BB20" s="319" t="str">
        <f aca="true" t="shared" si="24" ref="BB20:BB67">B20</f>
        <v>J2</v>
      </c>
      <c r="BC20" s="69">
        <f t="shared" si="9"/>
        <v>135</v>
      </c>
      <c r="BD20" s="320">
        <f aca="true" t="shared" si="25" ref="BD20:BD67">K20</f>
        <v>135</v>
      </c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CA20" s="162">
        <f t="shared" si="10"/>
        <v>0</v>
      </c>
      <c r="CB20" s="162">
        <f aca="true" t="shared" si="26" ref="CB20:CL35">IF(AND(CA19=1,CA20=0),1,0)</f>
        <v>0</v>
      </c>
      <c r="CC20" s="162">
        <f t="shared" si="26"/>
        <v>0</v>
      </c>
      <c r="CD20" s="162">
        <f t="shared" si="26"/>
        <v>0</v>
      </c>
      <c r="CE20" s="162">
        <f t="shared" si="26"/>
        <v>0</v>
      </c>
      <c r="CF20" s="162">
        <f t="shared" si="26"/>
        <v>0</v>
      </c>
      <c r="CG20" s="162">
        <f t="shared" si="26"/>
        <v>0</v>
      </c>
      <c r="CH20" s="162">
        <f t="shared" si="26"/>
        <v>0</v>
      </c>
      <c r="CI20" s="162">
        <f t="shared" si="26"/>
        <v>0</v>
      </c>
      <c r="CJ20" s="162">
        <f t="shared" si="26"/>
        <v>0</v>
      </c>
      <c r="CK20" s="162">
        <f t="shared" si="26"/>
        <v>0</v>
      </c>
      <c r="CL20" s="162">
        <f t="shared" si="26"/>
        <v>0</v>
      </c>
      <c r="CM20" s="162">
        <f aca="true" t="shared" si="27" ref="CM20:CM54">IF(AND($CX$93=1,OR(CW20=$CW$92,CM19=1)),1,0)</f>
        <v>0</v>
      </c>
      <c r="CN20" s="162">
        <f t="shared" si="12"/>
        <v>0</v>
      </c>
      <c r="CO20" s="162">
        <f aca="true" t="shared" si="28" ref="CO20:CO54">IF(OR(CA20=1,CB20=1,CC20=1,CD20=1,CE20=1,CF20=1,CG20=1,CH20=1,CI20=1,CJ20=1,CK20=1,CL20=1,CM20=1),1,0)</f>
        <v>0</v>
      </c>
      <c r="CP20" s="163">
        <f aca="true" t="shared" si="29" ref="CP20:CP51">IF(CY20=1,IF(CO20=0,IF($CX$93=1,$CN$92,$CA$9),IF(I20&lt;0,$CA$9*EXP(J20/$CA$9),IF(I20&gt;0,CP19+ABS(I20)))),"")</f>
        <v>135</v>
      </c>
      <c r="CQ20" s="164"/>
      <c r="CR20" s="164"/>
      <c r="CS20" s="164"/>
      <c r="CT20" s="164"/>
      <c r="CU20" s="164"/>
      <c r="CV20" s="164"/>
      <c r="CW20" s="165">
        <f aca="true" t="shared" si="30" ref="CW20:CW67">IF(CY20=1,IF(I20&lt;0,0,I20+CW19),"")</f>
        <v>86.105375612522</v>
      </c>
      <c r="CX20" s="165">
        <f aca="true" t="shared" si="31" ref="CX20:CX67">IF(CY20=1,IF(I20&lt;0,CX19,CX19+I20),"")</f>
        <v>86.105375612522</v>
      </c>
      <c r="CY20" s="162">
        <f aca="true" t="shared" si="32" ref="CY20:CY67">IF(OR(B20="fim",CY19=0),0,1)</f>
        <v>1</v>
      </c>
      <c r="CZ20" s="164"/>
    </row>
    <row r="21" spans="1:104" ht="12.75">
      <c r="A21" s="239"/>
      <c r="B21" s="166" t="s">
        <v>94</v>
      </c>
      <c r="C21" s="114">
        <v>8</v>
      </c>
      <c r="D21" s="233">
        <f t="shared" si="13"/>
        <v>17</v>
      </c>
      <c r="E21" s="157">
        <v>24</v>
      </c>
      <c r="F21" s="157">
        <v>58.8</v>
      </c>
      <c r="G21" s="464">
        <f t="shared" si="3"/>
        <v>13.227860093780391</v>
      </c>
      <c r="H21" s="195">
        <f t="shared" si="4"/>
        <v>31.68354476177696</v>
      </c>
      <c r="I21" s="71">
        <f aca="true" t="shared" si="33" ref="I21:I67">F21-H21</f>
        <v>27.116455238223036</v>
      </c>
      <c r="J21" s="71">
        <f t="shared" si="14"/>
        <v>0</v>
      </c>
      <c r="K21" s="73">
        <f t="shared" si="15"/>
        <v>135</v>
      </c>
      <c r="L21" s="73">
        <f t="shared" si="16"/>
        <v>0</v>
      </c>
      <c r="M21" s="71">
        <f t="shared" si="17"/>
        <v>31.68354476177696</v>
      </c>
      <c r="N21" s="71">
        <f t="shared" si="5"/>
        <v>0</v>
      </c>
      <c r="O21" s="167">
        <f t="shared" si="18"/>
        <v>27.116455238223036</v>
      </c>
      <c r="P21" s="168"/>
      <c r="Q21" s="124">
        <f t="shared" si="6"/>
        <v>-20.91696257447641</v>
      </c>
      <c r="R21" s="124">
        <f t="shared" si="19"/>
        <v>99.20895070335294</v>
      </c>
      <c r="S21" s="124">
        <f t="shared" si="20"/>
        <v>13.227860093780391</v>
      </c>
      <c r="U21" s="203"/>
      <c r="V21" s="203"/>
      <c r="W21" s="203"/>
      <c r="X21" s="204"/>
      <c r="Y21" s="69"/>
      <c r="Z21" s="69"/>
      <c r="AA21" s="319" t="str">
        <f t="shared" si="21"/>
        <v>J3</v>
      </c>
      <c r="AB21" s="69">
        <f t="shared" si="7"/>
        <v>0</v>
      </c>
      <c r="AC21" s="320">
        <f t="shared" si="8"/>
        <v>27.116455238223036</v>
      </c>
      <c r="AD21" s="69"/>
      <c r="AE21" s="244"/>
      <c r="AF21" s="239"/>
      <c r="AG21" s="239"/>
      <c r="AH21" s="239"/>
      <c r="AI21" s="244"/>
      <c r="AJ21" s="244"/>
      <c r="AK21" s="244"/>
      <c r="AL21" s="244"/>
      <c r="AM21" s="244"/>
      <c r="AN21" s="244"/>
      <c r="AO21" s="321" t="str">
        <f t="shared" si="22"/>
        <v>J3</v>
      </c>
      <c r="AP21" s="73">
        <f t="shared" si="23"/>
        <v>58.8</v>
      </c>
      <c r="AQ21" s="322">
        <f t="shared" si="1"/>
        <v>31.68354476177696</v>
      </c>
      <c r="AR21" s="323">
        <f t="shared" si="2"/>
        <v>31.68354476177696</v>
      </c>
      <c r="AS21" s="235"/>
      <c r="AT21" s="239"/>
      <c r="AU21" s="239"/>
      <c r="AV21" s="239"/>
      <c r="AW21" s="239"/>
      <c r="AX21" s="239"/>
      <c r="AY21" s="239"/>
      <c r="AZ21" s="239"/>
      <c r="BA21" s="239"/>
      <c r="BB21" s="319" t="str">
        <f t="shared" si="24"/>
        <v>J3</v>
      </c>
      <c r="BC21" s="69">
        <f t="shared" si="9"/>
        <v>135</v>
      </c>
      <c r="BD21" s="320">
        <f t="shared" si="25"/>
        <v>135</v>
      </c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CA21" s="162">
        <f t="shared" si="10"/>
        <v>0</v>
      </c>
      <c r="CB21" s="162">
        <f t="shared" si="26"/>
        <v>0</v>
      </c>
      <c r="CC21" s="162">
        <f t="shared" si="26"/>
        <v>0</v>
      </c>
      <c r="CD21" s="162">
        <f t="shared" si="26"/>
        <v>0</v>
      </c>
      <c r="CE21" s="162">
        <f t="shared" si="26"/>
        <v>0</v>
      </c>
      <c r="CF21" s="162">
        <f t="shared" si="26"/>
        <v>0</v>
      </c>
      <c r="CG21" s="162">
        <f t="shared" si="26"/>
        <v>0</v>
      </c>
      <c r="CH21" s="162">
        <f t="shared" si="26"/>
        <v>0</v>
      </c>
      <c r="CI21" s="162">
        <f t="shared" si="26"/>
        <v>0</v>
      </c>
      <c r="CJ21" s="162">
        <f t="shared" si="26"/>
        <v>0</v>
      </c>
      <c r="CK21" s="162">
        <f t="shared" si="26"/>
        <v>0</v>
      </c>
      <c r="CL21" s="162">
        <f t="shared" si="26"/>
        <v>0</v>
      </c>
      <c r="CM21" s="162">
        <f t="shared" si="27"/>
        <v>0</v>
      </c>
      <c r="CN21" s="162">
        <f t="shared" si="12"/>
        <v>0</v>
      </c>
      <c r="CO21" s="162">
        <f t="shared" si="28"/>
        <v>0</v>
      </c>
      <c r="CP21" s="163">
        <f t="shared" si="29"/>
        <v>135</v>
      </c>
      <c r="CQ21" s="164"/>
      <c r="CR21" s="164"/>
      <c r="CS21" s="164"/>
      <c r="CT21" s="164"/>
      <c r="CU21" s="164"/>
      <c r="CV21" s="164"/>
      <c r="CW21" s="165">
        <f t="shared" si="30"/>
        <v>113.22183085074504</v>
      </c>
      <c r="CX21" s="165">
        <f t="shared" si="31"/>
        <v>113.22183085074504</v>
      </c>
      <c r="CY21" s="162">
        <f t="shared" si="32"/>
        <v>1</v>
      </c>
      <c r="CZ21" s="164"/>
    </row>
    <row r="22" spans="1:104" ht="12.75">
      <c r="A22" s="239"/>
      <c r="B22" s="166" t="s">
        <v>95</v>
      </c>
      <c r="C22" s="114">
        <v>10</v>
      </c>
      <c r="D22" s="233">
        <f t="shared" si="13"/>
        <v>25</v>
      </c>
      <c r="E22" s="157">
        <v>24.6</v>
      </c>
      <c r="F22" s="157">
        <v>54.5</v>
      </c>
      <c r="G22" s="464">
        <f t="shared" si="3"/>
        <v>13.121946138005796</v>
      </c>
      <c r="H22" s="195">
        <f t="shared" si="4"/>
        <v>41.685950876980094</v>
      </c>
      <c r="I22" s="71">
        <f t="shared" si="33"/>
        <v>12.814049123019906</v>
      </c>
      <c r="J22" s="71">
        <f t="shared" si="14"/>
        <v>0</v>
      </c>
      <c r="K22" s="73">
        <f t="shared" si="15"/>
        <v>135</v>
      </c>
      <c r="L22" s="73">
        <f t="shared" si="16"/>
        <v>0</v>
      </c>
      <c r="M22" s="71">
        <f t="shared" si="17"/>
        <v>41.685950876980094</v>
      </c>
      <c r="N22" s="71">
        <f t="shared" si="5"/>
        <v>0</v>
      </c>
      <c r="O22" s="167">
        <f t="shared" si="18"/>
        <v>12.814049123019906</v>
      </c>
      <c r="P22" s="168"/>
      <c r="Q22" s="124">
        <f t="shared" si="6"/>
        <v>-19.263625174941613</v>
      </c>
      <c r="R22" s="124">
        <f t="shared" si="19"/>
        <v>98.41459603504347</v>
      </c>
      <c r="S22" s="124">
        <f t="shared" si="20"/>
        <v>13.121946138005796</v>
      </c>
      <c r="U22" s="203"/>
      <c r="V22" s="203"/>
      <c r="W22" s="203"/>
      <c r="X22" s="204"/>
      <c r="Y22" s="69"/>
      <c r="Z22" s="69"/>
      <c r="AA22" s="319" t="str">
        <f t="shared" si="21"/>
        <v>F1</v>
      </c>
      <c r="AB22" s="69">
        <f t="shared" si="7"/>
        <v>0</v>
      </c>
      <c r="AC22" s="320">
        <f t="shared" si="8"/>
        <v>12.814049123019906</v>
      </c>
      <c r="AD22" s="69"/>
      <c r="AE22" s="244"/>
      <c r="AF22" s="239"/>
      <c r="AG22" s="239"/>
      <c r="AH22" s="239"/>
      <c r="AI22" s="244"/>
      <c r="AJ22" s="244"/>
      <c r="AK22" s="244"/>
      <c r="AL22" s="244"/>
      <c r="AM22" s="244"/>
      <c r="AN22" s="244"/>
      <c r="AO22" s="321" t="str">
        <f t="shared" si="22"/>
        <v>F1</v>
      </c>
      <c r="AP22" s="73">
        <f t="shared" si="23"/>
        <v>54.5</v>
      </c>
      <c r="AQ22" s="322">
        <f t="shared" si="1"/>
        <v>41.685950876980094</v>
      </c>
      <c r="AR22" s="323">
        <f t="shared" si="2"/>
        <v>41.685950876980094</v>
      </c>
      <c r="AS22" s="235"/>
      <c r="AT22" s="239"/>
      <c r="AU22" s="239"/>
      <c r="AV22" s="239"/>
      <c r="AW22" s="239"/>
      <c r="AX22" s="239"/>
      <c r="AY22" s="239"/>
      <c r="AZ22" s="239"/>
      <c r="BA22" s="239"/>
      <c r="BB22" s="319" t="str">
        <f t="shared" si="24"/>
        <v>F1</v>
      </c>
      <c r="BC22" s="69">
        <f t="shared" si="9"/>
        <v>135</v>
      </c>
      <c r="BD22" s="320">
        <f t="shared" si="25"/>
        <v>135</v>
      </c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CA22" s="162">
        <f t="shared" si="10"/>
        <v>0</v>
      </c>
      <c r="CB22" s="162">
        <f t="shared" si="26"/>
        <v>0</v>
      </c>
      <c r="CC22" s="162">
        <f t="shared" si="26"/>
        <v>0</v>
      </c>
      <c r="CD22" s="162">
        <f t="shared" si="26"/>
        <v>0</v>
      </c>
      <c r="CE22" s="162">
        <f t="shared" si="26"/>
        <v>0</v>
      </c>
      <c r="CF22" s="162">
        <f t="shared" si="26"/>
        <v>0</v>
      </c>
      <c r="CG22" s="162">
        <f t="shared" si="26"/>
        <v>0</v>
      </c>
      <c r="CH22" s="162">
        <f t="shared" si="26"/>
        <v>0</v>
      </c>
      <c r="CI22" s="162">
        <f t="shared" si="26"/>
        <v>0</v>
      </c>
      <c r="CJ22" s="162">
        <f t="shared" si="26"/>
        <v>0</v>
      </c>
      <c r="CK22" s="162">
        <f t="shared" si="26"/>
        <v>0</v>
      </c>
      <c r="CL22" s="162">
        <f t="shared" si="26"/>
        <v>0</v>
      </c>
      <c r="CM22" s="162">
        <f t="shared" si="27"/>
        <v>0</v>
      </c>
      <c r="CN22" s="162">
        <f t="shared" si="12"/>
        <v>0</v>
      </c>
      <c r="CO22" s="162">
        <f t="shared" si="28"/>
        <v>0</v>
      </c>
      <c r="CP22" s="163">
        <f t="shared" si="29"/>
        <v>135</v>
      </c>
      <c r="CQ22" s="164"/>
      <c r="CR22" s="164"/>
      <c r="CS22" s="164"/>
      <c r="CT22" s="164"/>
      <c r="CU22" s="164"/>
      <c r="CV22" s="164"/>
      <c r="CW22" s="165">
        <f t="shared" si="30"/>
        <v>126.03587997376493</v>
      </c>
      <c r="CX22" s="165">
        <f t="shared" si="31"/>
        <v>126.03587997376493</v>
      </c>
      <c r="CY22" s="162">
        <f t="shared" si="32"/>
        <v>1</v>
      </c>
      <c r="CZ22" s="164"/>
    </row>
    <row r="23" spans="1:104" ht="12.75">
      <c r="A23" s="239"/>
      <c r="B23" s="166" t="s">
        <v>96</v>
      </c>
      <c r="C23" s="114">
        <v>10</v>
      </c>
      <c r="D23" s="233">
        <f t="shared" si="13"/>
        <v>35</v>
      </c>
      <c r="E23" s="157">
        <v>25</v>
      </c>
      <c r="F23" s="157">
        <v>100</v>
      </c>
      <c r="G23" s="464">
        <f t="shared" si="3"/>
        <v>12.961507349656564</v>
      </c>
      <c r="H23" s="195">
        <f t="shared" si="4"/>
        <v>42.801475018565874</v>
      </c>
      <c r="I23" s="71">
        <f t="shared" si="33"/>
        <v>57.198524981434126</v>
      </c>
      <c r="J23" s="71">
        <f t="shared" si="14"/>
        <v>0</v>
      </c>
      <c r="K23" s="73">
        <f t="shared" si="15"/>
        <v>135</v>
      </c>
      <c r="L23" s="73">
        <f t="shared" si="16"/>
        <v>0</v>
      </c>
      <c r="M23" s="71">
        <f t="shared" si="17"/>
        <v>42.801475018565874</v>
      </c>
      <c r="N23" s="71">
        <f t="shared" si="5"/>
        <v>0</v>
      </c>
      <c r="O23" s="167">
        <f t="shared" si="18"/>
        <v>57.198524981434126</v>
      </c>
      <c r="P23" s="168"/>
      <c r="Q23" s="124">
        <f t="shared" si="6"/>
        <v>-16.688347792507614</v>
      </c>
      <c r="R23" s="124">
        <f t="shared" si="19"/>
        <v>97.21130512242424</v>
      </c>
      <c r="S23" s="124">
        <f t="shared" si="20"/>
        <v>12.961507349656564</v>
      </c>
      <c r="U23" s="203"/>
      <c r="V23" s="203"/>
      <c r="W23" s="203"/>
      <c r="X23" s="204"/>
      <c r="Y23" s="69"/>
      <c r="Z23" s="69"/>
      <c r="AA23" s="319" t="str">
        <f t="shared" si="21"/>
        <v>F2</v>
      </c>
      <c r="AB23" s="69">
        <f t="shared" si="7"/>
        <v>0</v>
      </c>
      <c r="AC23" s="320">
        <f t="shared" si="8"/>
        <v>57.198524981434126</v>
      </c>
      <c r="AD23" s="69"/>
      <c r="AE23" s="244"/>
      <c r="AF23" s="239"/>
      <c r="AG23" s="239"/>
      <c r="AH23" s="239"/>
      <c r="AI23" s="244"/>
      <c r="AJ23" s="244"/>
      <c r="AK23" s="244"/>
      <c r="AL23" s="244"/>
      <c r="AM23" s="244"/>
      <c r="AN23" s="244"/>
      <c r="AO23" s="321" t="str">
        <f t="shared" si="22"/>
        <v>F2</v>
      </c>
      <c r="AP23" s="73">
        <f t="shared" si="23"/>
        <v>100</v>
      </c>
      <c r="AQ23" s="322">
        <f t="shared" si="1"/>
        <v>42.801475018565874</v>
      </c>
      <c r="AR23" s="323">
        <f t="shared" si="2"/>
        <v>42.801475018565874</v>
      </c>
      <c r="AS23" s="235"/>
      <c r="AT23" s="239"/>
      <c r="AU23" s="239"/>
      <c r="AV23" s="239"/>
      <c r="AW23" s="239"/>
      <c r="AX23" s="239"/>
      <c r="AY23" s="239"/>
      <c r="AZ23" s="239"/>
      <c r="BA23" s="239"/>
      <c r="BB23" s="319" t="str">
        <f t="shared" si="24"/>
        <v>F2</v>
      </c>
      <c r="BC23" s="69">
        <f t="shared" si="9"/>
        <v>135</v>
      </c>
      <c r="BD23" s="320">
        <f t="shared" si="25"/>
        <v>135</v>
      </c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CA23" s="162">
        <f t="shared" si="10"/>
        <v>0</v>
      </c>
      <c r="CB23" s="162">
        <f t="shared" si="26"/>
        <v>0</v>
      </c>
      <c r="CC23" s="162">
        <f t="shared" si="26"/>
        <v>0</v>
      </c>
      <c r="CD23" s="162">
        <f t="shared" si="26"/>
        <v>0</v>
      </c>
      <c r="CE23" s="162">
        <f t="shared" si="26"/>
        <v>0</v>
      </c>
      <c r="CF23" s="162">
        <f t="shared" si="26"/>
        <v>0</v>
      </c>
      <c r="CG23" s="162">
        <f t="shared" si="26"/>
        <v>0</v>
      </c>
      <c r="CH23" s="162">
        <f t="shared" si="26"/>
        <v>0</v>
      </c>
      <c r="CI23" s="162">
        <f t="shared" si="26"/>
        <v>0</v>
      </c>
      <c r="CJ23" s="162">
        <f t="shared" si="26"/>
        <v>0</v>
      </c>
      <c r="CK23" s="162">
        <f t="shared" si="26"/>
        <v>0</v>
      </c>
      <c r="CL23" s="162">
        <f t="shared" si="26"/>
        <v>0</v>
      </c>
      <c r="CM23" s="162">
        <f t="shared" si="27"/>
        <v>0</v>
      </c>
      <c r="CN23" s="162">
        <f t="shared" si="12"/>
        <v>0</v>
      </c>
      <c r="CO23" s="162">
        <f t="shared" si="28"/>
        <v>0</v>
      </c>
      <c r="CP23" s="163">
        <f t="shared" si="29"/>
        <v>135</v>
      </c>
      <c r="CQ23" s="164"/>
      <c r="CR23" s="164"/>
      <c r="CS23" s="164"/>
      <c r="CT23" s="164"/>
      <c r="CU23" s="164"/>
      <c r="CV23" s="164"/>
      <c r="CW23" s="165">
        <f t="shared" si="30"/>
        <v>183.23440495519907</v>
      </c>
      <c r="CX23" s="165">
        <f t="shared" si="31"/>
        <v>183.23440495519907</v>
      </c>
      <c r="CY23" s="162">
        <f t="shared" si="32"/>
        <v>1</v>
      </c>
      <c r="CZ23" s="164"/>
    </row>
    <row r="24" spans="1:104" ht="12.75">
      <c r="A24" s="239"/>
      <c r="B24" s="166" t="s">
        <v>97</v>
      </c>
      <c r="C24" s="114">
        <v>8</v>
      </c>
      <c r="D24" s="233">
        <f t="shared" si="13"/>
        <v>45</v>
      </c>
      <c r="E24" s="157">
        <v>24</v>
      </c>
      <c r="F24" s="157">
        <v>29.3</v>
      </c>
      <c r="G24" s="464">
        <f t="shared" si="3"/>
        <v>12.776370151116598</v>
      </c>
      <c r="H24" s="195">
        <f t="shared" si="4"/>
        <v>30.6021301031349</v>
      </c>
      <c r="I24" s="71">
        <f t="shared" si="33"/>
        <v>-1.3021301031348997</v>
      </c>
      <c r="J24" s="71">
        <f t="shared" si="14"/>
        <v>-1.3021301031348997</v>
      </c>
      <c r="K24" s="73">
        <f t="shared" si="15"/>
        <v>133.70412954325255</v>
      </c>
      <c r="L24" s="73">
        <f t="shared" si="16"/>
        <v>-1.2958704567474513</v>
      </c>
      <c r="M24" s="71">
        <f t="shared" si="17"/>
        <v>30.595870456747452</v>
      </c>
      <c r="N24" s="71">
        <f t="shared" si="5"/>
        <v>0.00625964638744847</v>
      </c>
      <c r="O24" s="167">
        <f t="shared" si="18"/>
        <v>0</v>
      </c>
      <c r="P24" s="168"/>
      <c r="Q24" s="124">
        <f t="shared" si="6"/>
        <v>-13.61976641249163</v>
      </c>
      <c r="R24" s="124">
        <f t="shared" si="19"/>
        <v>95.82277613337449</v>
      </c>
      <c r="S24" s="124">
        <f t="shared" si="20"/>
        <v>12.776370151116598</v>
      </c>
      <c r="U24" s="203"/>
      <c r="V24" s="203"/>
      <c r="W24" s="203"/>
      <c r="X24" s="204"/>
      <c r="Y24" s="69"/>
      <c r="Z24" s="69"/>
      <c r="AA24" s="319" t="str">
        <f t="shared" si="21"/>
        <v>F3</v>
      </c>
      <c r="AB24" s="69">
        <f t="shared" si="7"/>
        <v>-0.00625964638744847</v>
      </c>
      <c r="AC24" s="320">
        <f t="shared" si="8"/>
        <v>0</v>
      </c>
      <c r="AD24" s="69"/>
      <c r="AE24" s="244"/>
      <c r="AF24" s="239"/>
      <c r="AG24" s="239"/>
      <c r="AH24" s="239"/>
      <c r="AI24" s="244"/>
      <c r="AJ24" s="244"/>
      <c r="AK24" s="244"/>
      <c r="AL24" s="244"/>
      <c r="AM24" s="244"/>
      <c r="AN24" s="244"/>
      <c r="AO24" s="321" t="str">
        <f t="shared" si="22"/>
        <v>F3</v>
      </c>
      <c r="AP24" s="73">
        <f t="shared" si="23"/>
        <v>29.3</v>
      </c>
      <c r="AQ24" s="322">
        <f t="shared" si="1"/>
        <v>30.6021301031349</v>
      </c>
      <c r="AR24" s="323">
        <f t="shared" si="2"/>
        <v>30.595870456747452</v>
      </c>
      <c r="AS24" s="235"/>
      <c r="AT24" s="239"/>
      <c r="AU24" s="239"/>
      <c r="AV24" s="239"/>
      <c r="AW24" s="239"/>
      <c r="AX24" s="239"/>
      <c r="AY24" s="239"/>
      <c r="AZ24" s="239"/>
      <c r="BA24" s="239"/>
      <c r="BB24" s="319" t="str">
        <f t="shared" si="24"/>
        <v>F3</v>
      </c>
      <c r="BC24" s="69">
        <f t="shared" si="9"/>
        <v>135</v>
      </c>
      <c r="BD24" s="320">
        <f t="shared" si="25"/>
        <v>133.70412954325255</v>
      </c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CA24" s="162">
        <f t="shared" si="10"/>
        <v>1</v>
      </c>
      <c r="CB24" s="162">
        <f t="shared" si="26"/>
        <v>0</v>
      </c>
      <c r="CC24" s="162">
        <f t="shared" si="26"/>
        <v>0</v>
      </c>
      <c r="CD24" s="162">
        <f t="shared" si="26"/>
        <v>0</v>
      </c>
      <c r="CE24" s="162">
        <f t="shared" si="26"/>
        <v>0</v>
      </c>
      <c r="CF24" s="162">
        <f t="shared" si="26"/>
        <v>0</v>
      </c>
      <c r="CG24" s="162">
        <f t="shared" si="26"/>
        <v>0</v>
      </c>
      <c r="CH24" s="162">
        <f t="shared" si="26"/>
        <v>0</v>
      </c>
      <c r="CI24" s="162">
        <f t="shared" si="26"/>
        <v>0</v>
      </c>
      <c r="CJ24" s="162">
        <f t="shared" si="26"/>
        <v>0</v>
      </c>
      <c r="CK24" s="162">
        <f t="shared" si="26"/>
        <v>0</v>
      </c>
      <c r="CL24" s="162">
        <f t="shared" si="26"/>
        <v>0</v>
      </c>
      <c r="CM24" s="162">
        <f t="shared" si="27"/>
        <v>0</v>
      </c>
      <c r="CN24" s="162">
        <f t="shared" si="12"/>
        <v>0</v>
      </c>
      <c r="CO24" s="162">
        <f t="shared" si="28"/>
        <v>1</v>
      </c>
      <c r="CP24" s="163">
        <f t="shared" si="29"/>
        <v>133.70412954325255</v>
      </c>
      <c r="CQ24" s="164"/>
      <c r="CR24" s="164"/>
      <c r="CS24" s="164"/>
      <c r="CT24" s="164"/>
      <c r="CU24" s="164"/>
      <c r="CV24" s="164"/>
      <c r="CW24" s="165">
        <f t="shared" si="30"/>
        <v>0</v>
      </c>
      <c r="CX24" s="165">
        <f t="shared" si="31"/>
        <v>183.23440495519907</v>
      </c>
      <c r="CY24" s="162">
        <f t="shared" si="32"/>
        <v>1</v>
      </c>
      <c r="CZ24" s="164"/>
    </row>
    <row r="25" spans="1:104" ht="12.75">
      <c r="A25" s="239"/>
      <c r="B25" s="166" t="s">
        <v>98</v>
      </c>
      <c r="C25" s="114">
        <v>10</v>
      </c>
      <c r="D25" s="233">
        <f t="shared" si="13"/>
        <v>53</v>
      </c>
      <c r="E25" s="157">
        <v>24</v>
      </c>
      <c r="F25" s="169">
        <v>73.4</v>
      </c>
      <c r="G25" s="464">
        <f t="shared" si="3"/>
        <v>12.614929575490544</v>
      </c>
      <c r="H25" s="195">
        <f t="shared" si="4"/>
        <v>37.76930688695133</v>
      </c>
      <c r="I25" s="71">
        <f t="shared" si="33"/>
        <v>35.63069311304868</v>
      </c>
      <c r="J25" s="71">
        <f t="shared" si="14"/>
        <v>0</v>
      </c>
      <c r="K25" s="73">
        <f t="shared" si="15"/>
        <v>135</v>
      </c>
      <c r="L25" s="73">
        <f t="shared" si="16"/>
        <v>1.2958704567474513</v>
      </c>
      <c r="M25" s="71">
        <f t="shared" si="17"/>
        <v>37.76930688695133</v>
      </c>
      <c r="N25" s="71">
        <f t="shared" si="5"/>
        <v>0</v>
      </c>
      <c r="O25" s="167">
        <f t="shared" si="18"/>
        <v>34.33482265630123</v>
      </c>
      <c r="P25" s="168"/>
      <c r="Q25" s="124">
        <f t="shared" si="6"/>
        <v>-10.870253852671851</v>
      </c>
      <c r="R25" s="124">
        <f t="shared" si="19"/>
        <v>94.61197181617908</v>
      </c>
      <c r="S25" s="124">
        <f t="shared" si="20"/>
        <v>12.614929575490544</v>
      </c>
      <c r="U25" s="203"/>
      <c r="V25" s="203"/>
      <c r="W25" s="203"/>
      <c r="X25" s="204"/>
      <c r="Y25" s="69"/>
      <c r="Z25" s="69"/>
      <c r="AA25" s="319" t="str">
        <f t="shared" si="21"/>
        <v>M1</v>
      </c>
      <c r="AB25" s="69">
        <f t="shared" si="7"/>
        <v>0</v>
      </c>
      <c r="AC25" s="320">
        <f t="shared" si="8"/>
        <v>34.33482265630123</v>
      </c>
      <c r="AD25" s="69"/>
      <c r="AE25" s="244"/>
      <c r="AF25" s="239"/>
      <c r="AG25" s="239"/>
      <c r="AH25" s="239"/>
      <c r="AI25" s="244"/>
      <c r="AJ25" s="244"/>
      <c r="AK25" s="244"/>
      <c r="AL25" s="244"/>
      <c r="AM25" s="244"/>
      <c r="AN25" s="244"/>
      <c r="AO25" s="321" t="str">
        <f t="shared" si="22"/>
        <v>M1</v>
      </c>
      <c r="AP25" s="73">
        <f t="shared" si="23"/>
        <v>73.4</v>
      </c>
      <c r="AQ25" s="322">
        <f t="shared" si="1"/>
        <v>37.76930688695133</v>
      </c>
      <c r="AR25" s="323">
        <f t="shared" si="2"/>
        <v>37.76930688695133</v>
      </c>
      <c r="AS25" s="235"/>
      <c r="AT25" s="239"/>
      <c r="AU25" s="239"/>
      <c r="AV25" s="239"/>
      <c r="AW25" s="239"/>
      <c r="AX25" s="239"/>
      <c r="AY25" s="239"/>
      <c r="AZ25" s="239"/>
      <c r="BA25" s="239"/>
      <c r="BB25" s="319" t="str">
        <f t="shared" si="24"/>
        <v>M1</v>
      </c>
      <c r="BC25" s="69">
        <f t="shared" si="9"/>
        <v>135</v>
      </c>
      <c r="BD25" s="320">
        <f t="shared" si="25"/>
        <v>135</v>
      </c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CA25" s="162">
        <f t="shared" si="10"/>
        <v>0</v>
      </c>
      <c r="CB25" s="162">
        <f t="shared" si="26"/>
        <v>1</v>
      </c>
      <c r="CC25" s="162">
        <f t="shared" si="26"/>
        <v>0</v>
      </c>
      <c r="CD25" s="162">
        <f t="shared" si="26"/>
        <v>0</v>
      </c>
      <c r="CE25" s="162">
        <f t="shared" si="26"/>
        <v>0</v>
      </c>
      <c r="CF25" s="162">
        <f t="shared" si="26"/>
        <v>0</v>
      </c>
      <c r="CG25" s="162">
        <f t="shared" si="26"/>
        <v>0</v>
      </c>
      <c r="CH25" s="162">
        <f t="shared" si="26"/>
        <v>0</v>
      </c>
      <c r="CI25" s="162">
        <f t="shared" si="26"/>
        <v>0</v>
      </c>
      <c r="CJ25" s="162">
        <f t="shared" si="26"/>
        <v>0</v>
      </c>
      <c r="CK25" s="162">
        <f t="shared" si="26"/>
        <v>0</v>
      </c>
      <c r="CL25" s="162">
        <f t="shared" si="26"/>
        <v>0</v>
      </c>
      <c r="CM25" s="162">
        <f t="shared" si="27"/>
        <v>0</v>
      </c>
      <c r="CN25" s="162">
        <f t="shared" si="12"/>
        <v>0</v>
      </c>
      <c r="CO25" s="162">
        <f t="shared" si="28"/>
        <v>1</v>
      </c>
      <c r="CP25" s="163">
        <f t="shared" si="29"/>
        <v>169.33482265630124</v>
      </c>
      <c r="CQ25" s="164"/>
      <c r="CR25" s="164"/>
      <c r="CS25" s="164"/>
      <c r="CT25" s="164"/>
      <c r="CU25" s="164"/>
      <c r="CV25" s="164"/>
      <c r="CW25" s="165">
        <f t="shared" si="30"/>
        <v>35.63069311304868</v>
      </c>
      <c r="CX25" s="165">
        <f t="shared" si="31"/>
        <v>218.86509806824773</v>
      </c>
      <c r="CY25" s="162">
        <f t="shared" si="32"/>
        <v>1</v>
      </c>
      <c r="CZ25" s="164"/>
    </row>
    <row r="26" spans="1:104" ht="12.75">
      <c r="A26" s="239"/>
      <c r="B26" s="166" t="s">
        <v>99</v>
      </c>
      <c r="C26" s="114">
        <v>10</v>
      </c>
      <c r="D26" s="233">
        <f t="shared" si="13"/>
        <v>63</v>
      </c>
      <c r="E26" s="157">
        <v>23.5</v>
      </c>
      <c r="F26" s="169">
        <v>41.2</v>
      </c>
      <c r="G26" s="464">
        <f t="shared" si="3"/>
        <v>12.401471743782633</v>
      </c>
      <c r="H26" s="195">
        <f t="shared" si="4"/>
        <v>35.30069876193777</v>
      </c>
      <c r="I26" s="71">
        <f t="shared" si="33"/>
        <v>5.899301238062236</v>
      </c>
      <c r="J26" s="71">
        <f t="shared" si="14"/>
        <v>0</v>
      </c>
      <c r="K26" s="73">
        <f t="shared" si="15"/>
        <v>135</v>
      </c>
      <c r="L26" s="73">
        <f t="shared" si="16"/>
        <v>0</v>
      </c>
      <c r="M26" s="71">
        <f t="shared" si="17"/>
        <v>35.30069876193777</v>
      </c>
      <c r="N26" s="71">
        <f t="shared" si="5"/>
        <v>0</v>
      </c>
      <c r="O26" s="167">
        <f t="shared" si="18"/>
        <v>5.899301238062236</v>
      </c>
      <c r="P26" s="168"/>
      <c r="Q26" s="124">
        <f t="shared" si="6"/>
        <v>-7.150402718189978</v>
      </c>
      <c r="R26" s="124">
        <f t="shared" si="19"/>
        <v>93.01103807836975</v>
      </c>
      <c r="S26" s="124">
        <f t="shared" si="20"/>
        <v>12.401471743782633</v>
      </c>
      <c r="U26" s="203"/>
      <c r="V26" s="203"/>
      <c r="W26" s="203"/>
      <c r="X26" s="204"/>
      <c r="Y26" s="69"/>
      <c r="Z26" s="69"/>
      <c r="AA26" s="319" t="str">
        <f t="shared" si="21"/>
        <v>M2</v>
      </c>
      <c r="AB26" s="69">
        <f t="shared" si="7"/>
        <v>0</v>
      </c>
      <c r="AC26" s="320">
        <f t="shared" si="8"/>
        <v>5.899301238062236</v>
      </c>
      <c r="AD26" s="69"/>
      <c r="AE26" s="244"/>
      <c r="AF26" s="239"/>
      <c r="AG26" s="239"/>
      <c r="AH26" s="239"/>
      <c r="AI26" s="244"/>
      <c r="AJ26" s="244"/>
      <c r="AK26" s="244"/>
      <c r="AL26" s="244"/>
      <c r="AM26" s="244"/>
      <c r="AN26" s="244"/>
      <c r="AO26" s="321" t="str">
        <f t="shared" si="22"/>
        <v>M2</v>
      </c>
      <c r="AP26" s="73">
        <f t="shared" si="23"/>
        <v>41.2</v>
      </c>
      <c r="AQ26" s="322">
        <f t="shared" si="1"/>
        <v>35.30069876193777</v>
      </c>
      <c r="AR26" s="323">
        <f t="shared" si="2"/>
        <v>35.30069876193777</v>
      </c>
      <c r="AS26" s="235"/>
      <c r="AT26" s="239"/>
      <c r="AU26" s="239"/>
      <c r="AV26" s="239"/>
      <c r="AW26" s="239"/>
      <c r="AX26" s="239"/>
      <c r="AY26" s="239"/>
      <c r="AZ26" s="239"/>
      <c r="BA26" s="239"/>
      <c r="BB26" s="319" t="str">
        <f t="shared" si="24"/>
        <v>M2</v>
      </c>
      <c r="BC26" s="69">
        <f t="shared" si="9"/>
        <v>135</v>
      </c>
      <c r="BD26" s="320">
        <f t="shared" si="25"/>
        <v>135</v>
      </c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CA26" s="162">
        <f t="shared" si="10"/>
        <v>0</v>
      </c>
      <c r="CB26" s="162">
        <f t="shared" si="26"/>
        <v>0</v>
      </c>
      <c r="CC26" s="162">
        <f t="shared" si="26"/>
        <v>1</v>
      </c>
      <c r="CD26" s="162">
        <f t="shared" si="26"/>
        <v>0</v>
      </c>
      <c r="CE26" s="162">
        <f t="shared" si="26"/>
        <v>0</v>
      </c>
      <c r="CF26" s="162">
        <f t="shared" si="26"/>
        <v>0</v>
      </c>
      <c r="CG26" s="162">
        <f t="shared" si="26"/>
        <v>0</v>
      </c>
      <c r="CH26" s="162">
        <f t="shared" si="26"/>
        <v>0</v>
      </c>
      <c r="CI26" s="162">
        <f t="shared" si="26"/>
        <v>0</v>
      </c>
      <c r="CJ26" s="162">
        <f t="shared" si="26"/>
        <v>0</v>
      </c>
      <c r="CK26" s="162">
        <f t="shared" si="26"/>
        <v>0</v>
      </c>
      <c r="CL26" s="162">
        <f t="shared" si="26"/>
        <v>0</v>
      </c>
      <c r="CM26" s="162">
        <f t="shared" si="27"/>
        <v>0</v>
      </c>
      <c r="CN26" s="162">
        <f t="shared" si="12"/>
        <v>0</v>
      </c>
      <c r="CO26" s="162">
        <f t="shared" si="28"/>
        <v>1</v>
      </c>
      <c r="CP26" s="163">
        <f t="shared" si="29"/>
        <v>175.23412389436348</v>
      </c>
      <c r="CQ26" s="164"/>
      <c r="CR26" s="164"/>
      <c r="CS26" s="164"/>
      <c r="CT26" s="164"/>
      <c r="CU26" s="164"/>
      <c r="CV26" s="164"/>
      <c r="CW26" s="165">
        <f t="shared" si="30"/>
        <v>41.529994351110915</v>
      </c>
      <c r="CX26" s="165">
        <f t="shared" si="31"/>
        <v>224.76439930630997</v>
      </c>
      <c r="CY26" s="162">
        <f t="shared" si="32"/>
        <v>1</v>
      </c>
      <c r="CZ26" s="164"/>
    </row>
    <row r="27" spans="1:104" ht="12.75">
      <c r="A27" s="239"/>
      <c r="B27" s="166" t="s">
        <v>100</v>
      </c>
      <c r="C27" s="114">
        <v>11</v>
      </c>
      <c r="D27" s="233">
        <f t="shared" si="13"/>
        <v>73</v>
      </c>
      <c r="E27" s="157">
        <v>22</v>
      </c>
      <c r="F27" s="169">
        <v>28</v>
      </c>
      <c r="G27" s="464">
        <f t="shared" si="3"/>
        <v>12.179930754044825</v>
      </c>
      <c r="H27" s="195">
        <f t="shared" si="4"/>
        <v>32.55360900597608</v>
      </c>
      <c r="I27" s="71">
        <f t="shared" si="33"/>
        <v>-4.553609005976078</v>
      </c>
      <c r="J27" s="71">
        <f t="shared" si="14"/>
        <v>-4.553609005976078</v>
      </c>
      <c r="K27" s="73">
        <f t="shared" si="15"/>
        <v>130.5223323652085</v>
      </c>
      <c r="L27" s="73">
        <f t="shared" si="16"/>
        <v>-4.477667634791487</v>
      </c>
      <c r="M27" s="71">
        <f t="shared" si="17"/>
        <v>32.47766763479149</v>
      </c>
      <c r="N27" s="71">
        <f t="shared" si="5"/>
        <v>0.07594137118459088</v>
      </c>
      <c r="O27" s="167">
        <f t="shared" si="18"/>
        <v>0</v>
      </c>
      <c r="P27" s="168"/>
      <c r="Q27" s="124">
        <f t="shared" si="6"/>
        <v>-3.219187206056059</v>
      </c>
      <c r="R27" s="124">
        <f t="shared" si="19"/>
        <v>91.3494806553362</v>
      </c>
      <c r="S27" s="124">
        <f t="shared" si="20"/>
        <v>12.179930754044825</v>
      </c>
      <c r="U27" s="203"/>
      <c r="V27" s="203"/>
      <c r="W27" s="203"/>
      <c r="X27" s="204"/>
      <c r="Y27" s="69"/>
      <c r="Z27" s="69"/>
      <c r="AA27" s="319" t="str">
        <f t="shared" si="21"/>
        <v>M3</v>
      </c>
      <c r="AB27" s="69">
        <f t="shared" si="7"/>
        <v>-0.07594137118459088</v>
      </c>
      <c r="AC27" s="320">
        <f t="shared" si="8"/>
        <v>0</v>
      </c>
      <c r="AD27" s="69"/>
      <c r="AE27" s="244"/>
      <c r="AF27" s="239"/>
      <c r="AG27" s="239"/>
      <c r="AH27" s="239"/>
      <c r="AI27" s="244"/>
      <c r="AJ27" s="244"/>
      <c r="AK27" s="244"/>
      <c r="AL27" s="244"/>
      <c r="AM27" s="244"/>
      <c r="AN27" s="244"/>
      <c r="AO27" s="321" t="str">
        <f t="shared" si="22"/>
        <v>M3</v>
      </c>
      <c r="AP27" s="73">
        <f t="shared" si="23"/>
        <v>28</v>
      </c>
      <c r="AQ27" s="322">
        <f t="shared" si="1"/>
        <v>32.55360900597608</v>
      </c>
      <c r="AR27" s="323">
        <f t="shared" si="2"/>
        <v>32.47766763479149</v>
      </c>
      <c r="AS27" s="235"/>
      <c r="AT27" s="239"/>
      <c r="AU27" s="239"/>
      <c r="AV27" s="239"/>
      <c r="AW27" s="239"/>
      <c r="AX27" s="239"/>
      <c r="AY27" s="239"/>
      <c r="AZ27" s="239"/>
      <c r="BA27" s="239"/>
      <c r="BB27" s="319" t="str">
        <f t="shared" si="24"/>
        <v>M3</v>
      </c>
      <c r="BC27" s="69">
        <f t="shared" si="9"/>
        <v>135</v>
      </c>
      <c r="BD27" s="320">
        <f t="shared" si="25"/>
        <v>130.5223323652085</v>
      </c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CA27" s="162">
        <f t="shared" si="10"/>
        <v>1</v>
      </c>
      <c r="CB27" s="162">
        <f t="shared" si="26"/>
        <v>0</v>
      </c>
      <c r="CC27" s="162">
        <f t="shared" si="26"/>
        <v>0</v>
      </c>
      <c r="CD27" s="162">
        <f t="shared" si="26"/>
        <v>1</v>
      </c>
      <c r="CE27" s="162">
        <f t="shared" si="26"/>
        <v>0</v>
      </c>
      <c r="CF27" s="162">
        <f t="shared" si="26"/>
        <v>0</v>
      </c>
      <c r="CG27" s="162">
        <f t="shared" si="26"/>
        <v>0</v>
      </c>
      <c r="CH27" s="162">
        <f t="shared" si="26"/>
        <v>0</v>
      </c>
      <c r="CI27" s="162">
        <f t="shared" si="26"/>
        <v>0</v>
      </c>
      <c r="CJ27" s="162">
        <f t="shared" si="26"/>
        <v>0</v>
      </c>
      <c r="CK27" s="162">
        <f t="shared" si="26"/>
        <v>0</v>
      </c>
      <c r="CL27" s="162">
        <f t="shared" si="26"/>
        <v>0</v>
      </c>
      <c r="CM27" s="162">
        <f t="shared" si="27"/>
        <v>0</v>
      </c>
      <c r="CN27" s="162">
        <f t="shared" si="12"/>
        <v>0</v>
      </c>
      <c r="CO27" s="162">
        <f t="shared" si="28"/>
        <v>1</v>
      </c>
      <c r="CP27" s="163">
        <f t="shared" si="29"/>
        <v>130.5223323652085</v>
      </c>
      <c r="CQ27" s="164"/>
      <c r="CR27" s="164"/>
      <c r="CS27" s="164"/>
      <c r="CT27" s="164"/>
      <c r="CU27" s="164"/>
      <c r="CV27" s="164"/>
      <c r="CW27" s="165">
        <f t="shared" si="30"/>
        <v>0</v>
      </c>
      <c r="CX27" s="165">
        <f t="shared" si="31"/>
        <v>224.76439930630997</v>
      </c>
      <c r="CY27" s="162">
        <f t="shared" si="32"/>
        <v>1</v>
      </c>
      <c r="CZ27" s="164"/>
    </row>
    <row r="28" spans="1:104" ht="12.75">
      <c r="A28" s="239"/>
      <c r="B28" s="166" t="s">
        <v>101</v>
      </c>
      <c r="C28" s="114">
        <v>10</v>
      </c>
      <c r="D28" s="233">
        <f t="shared" si="13"/>
        <v>84</v>
      </c>
      <c r="E28" s="157">
        <v>21.8</v>
      </c>
      <c r="F28" s="157">
        <v>33.4</v>
      </c>
      <c r="G28" s="464">
        <f t="shared" si="3"/>
        <v>11.932408821653473</v>
      </c>
      <c r="H28" s="195">
        <f t="shared" si="4"/>
        <v>28.36422447681719</v>
      </c>
      <c r="I28" s="71">
        <f t="shared" si="33"/>
        <v>5.03577552318281</v>
      </c>
      <c r="J28" s="71">
        <f t="shared" si="14"/>
        <v>0</v>
      </c>
      <c r="K28" s="73">
        <f t="shared" si="15"/>
        <v>135</v>
      </c>
      <c r="L28" s="73">
        <f t="shared" si="16"/>
        <v>4.477667634791487</v>
      </c>
      <c r="M28" s="71">
        <f t="shared" si="17"/>
        <v>28.36422447681719</v>
      </c>
      <c r="N28" s="71">
        <f t="shared" si="5"/>
        <v>0</v>
      </c>
      <c r="O28" s="167">
        <f t="shared" si="18"/>
        <v>0.5581078883913229</v>
      </c>
      <c r="P28" s="168"/>
      <c r="Q28" s="124">
        <f t="shared" si="6"/>
        <v>1.2104811963853008</v>
      </c>
      <c r="R28" s="124">
        <f t="shared" si="19"/>
        <v>89.49306616240105</v>
      </c>
      <c r="S28" s="124">
        <f t="shared" si="20"/>
        <v>11.932408821653473</v>
      </c>
      <c r="U28" s="203"/>
      <c r="V28" s="203"/>
      <c r="W28" s="203"/>
      <c r="X28" s="204"/>
      <c r="Y28" s="69"/>
      <c r="Z28" s="69"/>
      <c r="AA28" s="319" t="str">
        <f t="shared" si="21"/>
        <v>A1</v>
      </c>
      <c r="AB28" s="69">
        <f t="shared" si="7"/>
        <v>0</v>
      </c>
      <c r="AC28" s="320">
        <f t="shared" si="8"/>
        <v>0.5581078883913229</v>
      </c>
      <c r="AD28" s="69"/>
      <c r="AE28" s="244"/>
      <c r="AF28" s="239"/>
      <c r="AG28" s="239"/>
      <c r="AH28" s="239"/>
      <c r="AI28" s="244"/>
      <c r="AJ28" s="244"/>
      <c r="AK28" s="244"/>
      <c r="AL28" s="244"/>
      <c r="AM28" s="244"/>
      <c r="AN28" s="244"/>
      <c r="AO28" s="321" t="str">
        <f t="shared" si="22"/>
        <v>A1</v>
      </c>
      <c r="AP28" s="73">
        <f t="shared" si="23"/>
        <v>33.4</v>
      </c>
      <c r="AQ28" s="322">
        <f t="shared" si="1"/>
        <v>28.36422447681719</v>
      </c>
      <c r="AR28" s="323">
        <f t="shared" si="2"/>
        <v>28.36422447681719</v>
      </c>
      <c r="AS28" s="235"/>
      <c r="AT28" s="239"/>
      <c r="AU28" s="239"/>
      <c r="AV28" s="239"/>
      <c r="AW28" s="239"/>
      <c r="AX28" s="239"/>
      <c r="AY28" s="239"/>
      <c r="AZ28" s="239"/>
      <c r="BA28" s="239"/>
      <c r="BB28" s="319" t="str">
        <f t="shared" si="24"/>
        <v>A1</v>
      </c>
      <c r="BC28" s="69">
        <f t="shared" si="9"/>
        <v>135</v>
      </c>
      <c r="BD28" s="320">
        <f t="shared" si="25"/>
        <v>135</v>
      </c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CA28" s="162">
        <f t="shared" si="10"/>
        <v>0</v>
      </c>
      <c r="CB28" s="162">
        <f t="shared" si="26"/>
        <v>1</v>
      </c>
      <c r="CC28" s="162">
        <f t="shared" si="26"/>
        <v>0</v>
      </c>
      <c r="CD28" s="162">
        <f t="shared" si="26"/>
        <v>0</v>
      </c>
      <c r="CE28" s="162">
        <f t="shared" si="26"/>
        <v>1</v>
      </c>
      <c r="CF28" s="162">
        <f t="shared" si="26"/>
        <v>0</v>
      </c>
      <c r="CG28" s="162">
        <f t="shared" si="26"/>
        <v>0</v>
      </c>
      <c r="CH28" s="162">
        <f t="shared" si="26"/>
        <v>0</v>
      </c>
      <c r="CI28" s="162">
        <f t="shared" si="26"/>
        <v>0</v>
      </c>
      <c r="CJ28" s="162">
        <f t="shared" si="26"/>
        <v>0</v>
      </c>
      <c r="CK28" s="162">
        <f t="shared" si="26"/>
        <v>0</v>
      </c>
      <c r="CL28" s="162">
        <f t="shared" si="26"/>
        <v>0</v>
      </c>
      <c r="CM28" s="162">
        <f t="shared" si="27"/>
        <v>0</v>
      </c>
      <c r="CN28" s="162">
        <f t="shared" si="12"/>
        <v>0</v>
      </c>
      <c r="CO28" s="162">
        <f t="shared" si="28"/>
        <v>1</v>
      </c>
      <c r="CP28" s="163">
        <f t="shared" si="29"/>
        <v>135.55810788839133</v>
      </c>
      <c r="CQ28" s="164"/>
      <c r="CR28" s="164"/>
      <c r="CS28" s="164"/>
      <c r="CT28" s="164"/>
      <c r="CU28" s="164"/>
      <c r="CV28" s="164"/>
      <c r="CW28" s="165">
        <f t="shared" si="30"/>
        <v>5.03577552318281</v>
      </c>
      <c r="CX28" s="165">
        <f t="shared" si="31"/>
        <v>229.8001748294928</v>
      </c>
      <c r="CY28" s="162">
        <f t="shared" si="32"/>
        <v>1</v>
      </c>
      <c r="CZ28" s="164"/>
    </row>
    <row r="29" spans="1:104" ht="12.75">
      <c r="A29" s="239"/>
      <c r="B29" s="166" t="s">
        <v>102</v>
      </c>
      <c r="C29" s="114">
        <v>10</v>
      </c>
      <c r="D29" s="233">
        <f t="shared" si="13"/>
        <v>94</v>
      </c>
      <c r="E29" s="157">
        <v>21</v>
      </c>
      <c r="F29" s="157">
        <v>21.9</v>
      </c>
      <c r="G29" s="464">
        <f t="shared" si="3"/>
        <v>11.708589071024358</v>
      </c>
      <c r="H29" s="195">
        <f t="shared" si="4"/>
        <v>25.443571684094024</v>
      </c>
      <c r="I29" s="71">
        <f t="shared" si="33"/>
        <v>-3.543571684094026</v>
      </c>
      <c r="J29" s="71">
        <f t="shared" si="14"/>
        <v>-3.543571684094026</v>
      </c>
      <c r="K29" s="73">
        <f t="shared" si="15"/>
        <v>131.50253109417</v>
      </c>
      <c r="L29" s="73">
        <f t="shared" si="16"/>
        <v>-3.4974689058300044</v>
      </c>
      <c r="M29" s="71">
        <f t="shared" si="17"/>
        <v>25.397468905830003</v>
      </c>
      <c r="N29" s="71">
        <f t="shared" si="5"/>
        <v>0.04610277826402154</v>
      </c>
      <c r="O29" s="167">
        <f t="shared" si="18"/>
        <v>0</v>
      </c>
      <c r="P29" s="168"/>
      <c r="Q29" s="124">
        <f t="shared" si="6"/>
        <v>5.204059479947681</v>
      </c>
      <c r="R29" s="124">
        <f t="shared" si="19"/>
        <v>87.81441803268268</v>
      </c>
      <c r="S29" s="124">
        <f t="shared" si="20"/>
        <v>11.708589071024358</v>
      </c>
      <c r="U29" s="203"/>
      <c r="V29" s="203"/>
      <c r="W29" s="203"/>
      <c r="X29" s="204"/>
      <c r="Y29" s="69"/>
      <c r="Z29" s="69"/>
      <c r="AA29" s="319" t="str">
        <f t="shared" si="21"/>
        <v>A2</v>
      </c>
      <c r="AB29" s="69">
        <f t="shared" si="7"/>
        <v>-0.04610277826402154</v>
      </c>
      <c r="AC29" s="320">
        <f t="shared" si="8"/>
        <v>0</v>
      </c>
      <c r="AD29" s="69"/>
      <c r="AE29" s="244"/>
      <c r="AF29" s="239"/>
      <c r="AG29" s="239"/>
      <c r="AH29" s="239"/>
      <c r="AI29" s="244"/>
      <c r="AJ29" s="244"/>
      <c r="AK29" s="244"/>
      <c r="AL29" s="244"/>
      <c r="AM29" s="244"/>
      <c r="AN29" s="244"/>
      <c r="AO29" s="321" t="str">
        <f t="shared" si="22"/>
        <v>A2</v>
      </c>
      <c r="AP29" s="73">
        <f t="shared" si="23"/>
        <v>21.9</v>
      </c>
      <c r="AQ29" s="322">
        <f t="shared" si="1"/>
        <v>25.443571684094024</v>
      </c>
      <c r="AR29" s="323">
        <f t="shared" si="2"/>
        <v>25.397468905830003</v>
      </c>
      <c r="AS29" s="235"/>
      <c r="AT29" s="239"/>
      <c r="AU29" s="239"/>
      <c r="AV29" s="239"/>
      <c r="AW29" s="239"/>
      <c r="AX29" s="239"/>
      <c r="AY29" s="239"/>
      <c r="AZ29" s="239"/>
      <c r="BA29" s="239"/>
      <c r="BB29" s="319" t="str">
        <f t="shared" si="24"/>
        <v>A2</v>
      </c>
      <c r="BC29" s="69">
        <f t="shared" si="9"/>
        <v>135</v>
      </c>
      <c r="BD29" s="320">
        <f t="shared" si="25"/>
        <v>131.50253109417</v>
      </c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CA29" s="162">
        <f t="shared" si="10"/>
        <v>1</v>
      </c>
      <c r="CB29" s="162">
        <f t="shared" si="26"/>
        <v>0</v>
      </c>
      <c r="CC29" s="162">
        <f t="shared" si="26"/>
        <v>1</v>
      </c>
      <c r="CD29" s="162">
        <f t="shared" si="26"/>
        <v>0</v>
      </c>
      <c r="CE29" s="162">
        <f t="shared" si="26"/>
        <v>0</v>
      </c>
      <c r="CF29" s="162">
        <f t="shared" si="26"/>
        <v>1</v>
      </c>
      <c r="CG29" s="162">
        <f t="shared" si="26"/>
        <v>0</v>
      </c>
      <c r="CH29" s="162">
        <f t="shared" si="26"/>
        <v>0</v>
      </c>
      <c r="CI29" s="162">
        <f t="shared" si="26"/>
        <v>0</v>
      </c>
      <c r="CJ29" s="162">
        <f t="shared" si="26"/>
        <v>0</v>
      </c>
      <c r="CK29" s="162">
        <f t="shared" si="26"/>
        <v>0</v>
      </c>
      <c r="CL29" s="162">
        <f t="shared" si="26"/>
        <v>0</v>
      </c>
      <c r="CM29" s="162">
        <f t="shared" si="27"/>
        <v>0</v>
      </c>
      <c r="CN29" s="162">
        <f t="shared" si="12"/>
        <v>0</v>
      </c>
      <c r="CO29" s="162">
        <f t="shared" si="28"/>
        <v>1</v>
      </c>
      <c r="CP29" s="163">
        <f t="shared" si="29"/>
        <v>131.50253109417</v>
      </c>
      <c r="CQ29" s="164"/>
      <c r="CR29" s="164"/>
      <c r="CS29" s="164"/>
      <c r="CT29" s="164"/>
      <c r="CU29" s="164"/>
      <c r="CV29" s="164"/>
      <c r="CW29" s="165">
        <f t="shared" si="30"/>
        <v>0</v>
      </c>
      <c r="CX29" s="165">
        <f t="shared" si="31"/>
        <v>229.8001748294928</v>
      </c>
      <c r="CY29" s="162">
        <f t="shared" si="32"/>
        <v>1</v>
      </c>
      <c r="CZ29" s="164"/>
    </row>
    <row r="30" spans="1:104" ht="12.75">
      <c r="A30" s="239"/>
      <c r="B30" s="166" t="s">
        <v>103</v>
      </c>
      <c r="C30" s="114">
        <v>10</v>
      </c>
      <c r="D30" s="233">
        <f t="shared" si="13"/>
        <v>104</v>
      </c>
      <c r="E30" s="157">
        <v>21.2</v>
      </c>
      <c r="F30" s="157">
        <v>10.4</v>
      </c>
      <c r="G30" s="464">
        <f t="shared" si="3"/>
        <v>11.490478051372287</v>
      </c>
      <c r="H30" s="195">
        <f t="shared" si="4"/>
        <v>25.544144856077757</v>
      </c>
      <c r="I30" s="71">
        <f t="shared" si="33"/>
        <v>-15.144144856077757</v>
      </c>
      <c r="J30" s="71">
        <f t="shared" si="14"/>
        <v>-18.687716540171785</v>
      </c>
      <c r="K30" s="73">
        <f t="shared" si="15"/>
        <v>117.54805732893448</v>
      </c>
      <c r="L30" s="73">
        <f t="shared" si="16"/>
        <v>-13.95447376523552</v>
      </c>
      <c r="M30" s="71">
        <f t="shared" si="17"/>
        <v>24.354473765235518</v>
      </c>
      <c r="N30" s="71">
        <f t="shared" si="5"/>
        <v>1.1896710908422392</v>
      </c>
      <c r="O30" s="167">
        <f t="shared" si="18"/>
        <v>0</v>
      </c>
      <c r="P30" s="168"/>
      <c r="Q30" s="124">
        <f t="shared" si="6"/>
        <v>9.043806876412585</v>
      </c>
      <c r="R30" s="124">
        <f t="shared" si="19"/>
        <v>86.17858538529215</v>
      </c>
      <c r="S30" s="124">
        <f t="shared" si="20"/>
        <v>11.490478051372287</v>
      </c>
      <c r="U30" s="203"/>
      <c r="V30" s="203"/>
      <c r="W30" s="203"/>
      <c r="X30" s="204"/>
      <c r="Y30" s="69"/>
      <c r="Z30" s="69"/>
      <c r="AA30" s="319" t="str">
        <f t="shared" si="21"/>
        <v>A3</v>
      </c>
      <c r="AB30" s="69">
        <f t="shared" si="7"/>
        <v>-1.1896710908422392</v>
      </c>
      <c r="AC30" s="320">
        <f t="shared" si="8"/>
        <v>0</v>
      </c>
      <c r="AD30" s="69"/>
      <c r="AE30" s="244"/>
      <c r="AF30" s="239"/>
      <c r="AG30" s="239"/>
      <c r="AH30" s="239"/>
      <c r="AI30" s="244"/>
      <c r="AJ30" s="244"/>
      <c r="AK30" s="244"/>
      <c r="AL30" s="244"/>
      <c r="AM30" s="244"/>
      <c r="AN30" s="244"/>
      <c r="AO30" s="321" t="str">
        <f t="shared" si="22"/>
        <v>A3</v>
      </c>
      <c r="AP30" s="73">
        <f t="shared" si="23"/>
        <v>10.4</v>
      </c>
      <c r="AQ30" s="322">
        <f t="shared" si="1"/>
        <v>25.544144856077757</v>
      </c>
      <c r="AR30" s="323">
        <f t="shared" si="2"/>
        <v>24.354473765235518</v>
      </c>
      <c r="AS30" s="235"/>
      <c r="AT30" s="239"/>
      <c r="AU30" s="239"/>
      <c r="AV30" s="239"/>
      <c r="AW30" s="239"/>
      <c r="AX30" s="239"/>
      <c r="AY30" s="239"/>
      <c r="AZ30" s="239"/>
      <c r="BA30" s="239"/>
      <c r="BB30" s="319" t="str">
        <f t="shared" si="24"/>
        <v>A3</v>
      </c>
      <c r="BC30" s="69">
        <f t="shared" si="9"/>
        <v>135</v>
      </c>
      <c r="BD30" s="320">
        <f t="shared" si="25"/>
        <v>117.54805732893448</v>
      </c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CA30" s="162">
        <f t="shared" si="10"/>
        <v>1</v>
      </c>
      <c r="CB30" s="162">
        <f t="shared" si="26"/>
        <v>0</v>
      </c>
      <c r="CC30" s="162">
        <f t="shared" si="26"/>
        <v>0</v>
      </c>
      <c r="CD30" s="162">
        <f t="shared" si="26"/>
        <v>1</v>
      </c>
      <c r="CE30" s="162">
        <f t="shared" si="26"/>
        <v>0</v>
      </c>
      <c r="CF30" s="162">
        <f t="shared" si="26"/>
        <v>0</v>
      </c>
      <c r="CG30" s="162">
        <f t="shared" si="26"/>
        <v>1</v>
      </c>
      <c r="CH30" s="162">
        <f t="shared" si="26"/>
        <v>0</v>
      </c>
      <c r="CI30" s="162">
        <f t="shared" si="26"/>
        <v>0</v>
      </c>
      <c r="CJ30" s="162">
        <f t="shared" si="26"/>
        <v>0</v>
      </c>
      <c r="CK30" s="162">
        <f t="shared" si="26"/>
        <v>0</v>
      </c>
      <c r="CL30" s="162">
        <f t="shared" si="26"/>
        <v>0</v>
      </c>
      <c r="CM30" s="162">
        <f t="shared" si="27"/>
        <v>0</v>
      </c>
      <c r="CN30" s="162">
        <f t="shared" si="12"/>
        <v>0</v>
      </c>
      <c r="CO30" s="162">
        <f t="shared" si="28"/>
        <v>1</v>
      </c>
      <c r="CP30" s="163">
        <f t="shared" si="29"/>
        <v>117.54805732893448</v>
      </c>
      <c r="CQ30" s="164"/>
      <c r="CR30" s="164"/>
      <c r="CS30" s="164"/>
      <c r="CT30" s="164"/>
      <c r="CU30" s="164"/>
      <c r="CV30" s="164"/>
      <c r="CW30" s="165">
        <f t="shared" si="30"/>
        <v>0</v>
      </c>
      <c r="CX30" s="165">
        <f t="shared" si="31"/>
        <v>229.8001748294928</v>
      </c>
      <c r="CY30" s="162">
        <f t="shared" si="32"/>
        <v>1</v>
      </c>
      <c r="CZ30" s="164"/>
    </row>
    <row r="31" spans="1:104" ht="12.75">
      <c r="A31" s="239"/>
      <c r="B31" s="166" t="s">
        <v>98</v>
      </c>
      <c r="C31" s="114">
        <v>10</v>
      </c>
      <c r="D31" s="233">
        <f t="shared" si="13"/>
        <v>114</v>
      </c>
      <c r="E31" s="157">
        <v>20</v>
      </c>
      <c r="F31" s="157">
        <v>12.6</v>
      </c>
      <c r="G31" s="464">
        <f t="shared" si="3"/>
        <v>11.2829848696017</v>
      </c>
      <c r="H31" s="195">
        <f t="shared" si="4"/>
        <v>21.809373992994857</v>
      </c>
      <c r="I31" s="71">
        <f t="shared" si="33"/>
        <v>-9.209373992994857</v>
      </c>
      <c r="J31" s="71">
        <f t="shared" si="14"/>
        <v>-27.89709053316664</v>
      </c>
      <c r="K31" s="73">
        <f t="shared" si="15"/>
        <v>109.79661099871731</v>
      </c>
      <c r="L31" s="73">
        <f t="shared" si="16"/>
        <v>-7.7514463302171634</v>
      </c>
      <c r="M31" s="71">
        <f t="shared" si="17"/>
        <v>20.351446330217165</v>
      </c>
      <c r="N31" s="71">
        <f t="shared" si="5"/>
        <v>1.457927662777692</v>
      </c>
      <c r="O31" s="167">
        <f t="shared" si="18"/>
        <v>0</v>
      </c>
      <c r="P31" s="168"/>
      <c r="Q31" s="124">
        <f t="shared" si="6"/>
        <v>12.616221272573126</v>
      </c>
      <c r="R31" s="124">
        <f t="shared" si="19"/>
        <v>84.62238652201275</v>
      </c>
      <c r="S31" s="124">
        <f t="shared" si="20"/>
        <v>11.2829848696017</v>
      </c>
      <c r="U31" s="203"/>
      <c r="V31" s="203"/>
      <c r="W31" s="203"/>
      <c r="X31" s="204"/>
      <c r="Y31" s="69"/>
      <c r="Z31" s="69"/>
      <c r="AA31" s="319" t="str">
        <f t="shared" si="21"/>
        <v>M1</v>
      </c>
      <c r="AB31" s="69">
        <f t="shared" si="7"/>
        <v>-1.457927662777692</v>
      </c>
      <c r="AC31" s="320">
        <f t="shared" si="8"/>
        <v>0</v>
      </c>
      <c r="AD31" s="69"/>
      <c r="AE31" s="244"/>
      <c r="AF31" s="239"/>
      <c r="AG31" s="239"/>
      <c r="AH31" s="239"/>
      <c r="AI31" s="244"/>
      <c r="AJ31" s="244"/>
      <c r="AK31" s="244"/>
      <c r="AL31" s="244"/>
      <c r="AM31" s="244"/>
      <c r="AN31" s="244"/>
      <c r="AO31" s="321" t="str">
        <f t="shared" si="22"/>
        <v>M1</v>
      </c>
      <c r="AP31" s="73">
        <f t="shared" si="23"/>
        <v>12.6</v>
      </c>
      <c r="AQ31" s="322">
        <f t="shared" si="1"/>
        <v>21.809373992994857</v>
      </c>
      <c r="AR31" s="323">
        <f t="shared" si="2"/>
        <v>20.351446330217165</v>
      </c>
      <c r="AS31" s="235"/>
      <c r="AT31" s="239"/>
      <c r="AU31" s="239"/>
      <c r="AV31" s="239"/>
      <c r="AW31" s="239"/>
      <c r="AX31" s="239"/>
      <c r="AY31" s="239"/>
      <c r="AZ31" s="239"/>
      <c r="BA31" s="239"/>
      <c r="BB31" s="319" t="str">
        <f t="shared" si="24"/>
        <v>M1</v>
      </c>
      <c r="BC31" s="69">
        <f t="shared" si="9"/>
        <v>135</v>
      </c>
      <c r="BD31" s="320">
        <f t="shared" si="25"/>
        <v>109.79661099871731</v>
      </c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CA31" s="162">
        <f t="shared" si="10"/>
        <v>1</v>
      </c>
      <c r="CB31" s="162">
        <f t="shared" si="26"/>
        <v>0</v>
      </c>
      <c r="CC31" s="162">
        <f t="shared" si="26"/>
        <v>0</v>
      </c>
      <c r="CD31" s="162">
        <f t="shared" si="26"/>
        <v>0</v>
      </c>
      <c r="CE31" s="162">
        <f t="shared" si="26"/>
        <v>1</v>
      </c>
      <c r="CF31" s="162">
        <f t="shared" si="26"/>
        <v>0</v>
      </c>
      <c r="CG31" s="162">
        <f t="shared" si="26"/>
        <v>0</v>
      </c>
      <c r="CH31" s="162">
        <f t="shared" si="26"/>
        <v>1</v>
      </c>
      <c r="CI31" s="162">
        <f t="shared" si="26"/>
        <v>0</v>
      </c>
      <c r="CJ31" s="162">
        <f t="shared" si="26"/>
        <v>0</v>
      </c>
      <c r="CK31" s="162">
        <f t="shared" si="26"/>
        <v>0</v>
      </c>
      <c r="CL31" s="162">
        <f t="shared" si="26"/>
        <v>0</v>
      </c>
      <c r="CM31" s="162">
        <f t="shared" si="27"/>
        <v>0</v>
      </c>
      <c r="CN31" s="162">
        <f t="shared" si="12"/>
        <v>0</v>
      </c>
      <c r="CO31" s="162">
        <f t="shared" si="28"/>
        <v>1</v>
      </c>
      <c r="CP31" s="163">
        <f t="shared" si="29"/>
        <v>109.79661099871731</v>
      </c>
      <c r="CQ31" s="164"/>
      <c r="CR31" s="164"/>
      <c r="CS31" s="164"/>
      <c r="CT31" s="164"/>
      <c r="CU31" s="164"/>
      <c r="CV31" s="164"/>
      <c r="CW31" s="165">
        <f t="shared" si="30"/>
        <v>0</v>
      </c>
      <c r="CX31" s="165">
        <f t="shared" si="31"/>
        <v>229.8001748294928</v>
      </c>
      <c r="CY31" s="162">
        <f t="shared" si="32"/>
        <v>1</v>
      </c>
      <c r="CZ31" s="164"/>
    </row>
    <row r="32" spans="1:104" ht="12.75">
      <c r="A32" s="239"/>
      <c r="B32" s="166" t="s">
        <v>99</v>
      </c>
      <c r="C32" s="114">
        <v>10</v>
      </c>
      <c r="D32" s="233">
        <f t="shared" si="13"/>
        <v>124</v>
      </c>
      <c r="E32" s="157">
        <v>19</v>
      </c>
      <c r="F32" s="157">
        <v>31.6</v>
      </c>
      <c r="G32" s="464">
        <f t="shared" si="3"/>
        <v>11.091751542194993</v>
      </c>
      <c r="H32" s="195">
        <f t="shared" si="4"/>
        <v>18.95640503761242</v>
      </c>
      <c r="I32" s="71">
        <f t="shared" si="33"/>
        <v>12.643594962387581</v>
      </c>
      <c r="J32" s="71">
        <f t="shared" si="14"/>
        <v>-13.183017600184073</v>
      </c>
      <c r="K32" s="73">
        <f t="shared" si="15"/>
        <v>122.4402059611049</v>
      </c>
      <c r="L32" s="73">
        <f t="shared" si="16"/>
        <v>12.643594962387581</v>
      </c>
      <c r="M32" s="71">
        <f t="shared" si="17"/>
        <v>18.95640503761242</v>
      </c>
      <c r="N32" s="71">
        <f t="shared" si="5"/>
        <v>0</v>
      </c>
      <c r="O32" s="167">
        <f t="shared" si="18"/>
        <v>0</v>
      </c>
      <c r="P32" s="112"/>
      <c r="Q32" s="124">
        <f t="shared" si="6"/>
        <v>15.81570286163257</v>
      </c>
      <c r="R32" s="124">
        <f t="shared" si="19"/>
        <v>83.18813656646245</v>
      </c>
      <c r="S32" s="124">
        <f t="shared" si="20"/>
        <v>11.091751542194993</v>
      </c>
      <c r="U32" s="203"/>
      <c r="V32" s="203"/>
      <c r="W32" s="203"/>
      <c r="X32" s="204"/>
      <c r="Y32" s="69"/>
      <c r="Z32" s="69"/>
      <c r="AA32" s="319" t="str">
        <f t="shared" si="21"/>
        <v>M2</v>
      </c>
      <c r="AB32" s="69">
        <f t="shared" si="7"/>
        <v>0</v>
      </c>
      <c r="AC32" s="320">
        <f t="shared" si="8"/>
        <v>0</v>
      </c>
      <c r="AD32" s="69"/>
      <c r="AE32" s="244"/>
      <c r="AF32" s="239"/>
      <c r="AG32" s="239"/>
      <c r="AH32" s="239"/>
      <c r="AI32" s="244"/>
      <c r="AJ32" s="244"/>
      <c r="AK32" s="244"/>
      <c r="AL32" s="244"/>
      <c r="AM32" s="244"/>
      <c r="AN32" s="244"/>
      <c r="AO32" s="321" t="str">
        <f t="shared" si="22"/>
        <v>M2</v>
      </c>
      <c r="AP32" s="73">
        <f t="shared" si="23"/>
        <v>31.6</v>
      </c>
      <c r="AQ32" s="322">
        <f t="shared" si="1"/>
        <v>18.95640503761242</v>
      </c>
      <c r="AR32" s="323">
        <f t="shared" si="2"/>
        <v>18.95640503761242</v>
      </c>
      <c r="AS32" s="235"/>
      <c r="AT32" s="239"/>
      <c r="AU32" s="239"/>
      <c r="AV32" s="239"/>
      <c r="AW32" s="239"/>
      <c r="AX32" s="239"/>
      <c r="AY32" s="239"/>
      <c r="AZ32" s="239"/>
      <c r="BA32" s="239"/>
      <c r="BB32" s="319" t="str">
        <f t="shared" si="24"/>
        <v>M2</v>
      </c>
      <c r="BC32" s="69">
        <f t="shared" si="9"/>
        <v>135</v>
      </c>
      <c r="BD32" s="320">
        <f t="shared" si="25"/>
        <v>122.4402059611049</v>
      </c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CA32" s="162">
        <f t="shared" si="10"/>
        <v>0</v>
      </c>
      <c r="CB32" s="162">
        <f t="shared" si="26"/>
        <v>1</v>
      </c>
      <c r="CC32" s="162">
        <f t="shared" si="26"/>
        <v>0</v>
      </c>
      <c r="CD32" s="162">
        <f t="shared" si="26"/>
        <v>0</v>
      </c>
      <c r="CE32" s="162">
        <f t="shared" si="26"/>
        <v>0</v>
      </c>
      <c r="CF32" s="162">
        <f t="shared" si="26"/>
        <v>1</v>
      </c>
      <c r="CG32" s="162">
        <f t="shared" si="26"/>
        <v>0</v>
      </c>
      <c r="CH32" s="162">
        <f t="shared" si="26"/>
        <v>0</v>
      </c>
      <c r="CI32" s="162">
        <f t="shared" si="26"/>
        <v>1</v>
      </c>
      <c r="CJ32" s="162">
        <f t="shared" si="26"/>
        <v>0</v>
      </c>
      <c r="CK32" s="162">
        <f t="shared" si="26"/>
        <v>0</v>
      </c>
      <c r="CL32" s="162">
        <f t="shared" si="26"/>
        <v>0</v>
      </c>
      <c r="CM32" s="162">
        <f t="shared" si="27"/>
        <v>0</v>
      </c>
      <c r="CN32" s="162">
        <f t="shared" si="12"/>
        <v>0</v>
      </c>
      <c r="CO32" s="162">
        <f t="shared" si="28"/>
        <v>1</v>
      </c>
      <c r="CP32" s="163">
        <f t="shared" si="29"/>
        <v>122.4402059611049</v>
      </c>
      <c r="CQ32" s="164"/>
      <c r="CR32" s="164"/>
      <c r="CS32" s="164"/>
      <c r="CT32" s="164"/>
      <c r="CU32" s="164"/>
      <c r="CV32" s="164"/>
      <c r="CW32" s="165">
        <f t="shared" si="30"/>
        <v>12.643594962387581</v>
      </c>
      <c r="CX32" s="165">
        <f t="shared" si="31"/>
        <v>242.44376979188036</v>
      </c>
      <c r="CY32" s="162">
        <f t="shared" si="32"/>
        <v>1</v>
      </c>
      <c r="CZ32" s="164"/>
    </row>
    <row r="33" spans="1:104" ht="12.75">
      <c r="A33" s="239"/>
      <c r="B33" s="166" t="s">
        <v>100</v>
      </c>
      <c r="C33" s="114">
        <v>11</v>
      </c>
      <c r="D33" s="233">
        <f t="shared" si="13"/>
        <v>134</v>
      </c>
      <c r="E33" s="157">
        <v>18.6</v>
      </c>
      <c r="F33" s="157">
        <v>8.1</v>
      </c>
      <c r="G33" s="464">
        <f t="shared" si="3"/>
        <v>10.923180577318893</v>
      </c>
      <c r="H33" s="195">
        <f t="shared" si="4"/>
        <v>19.51282138547065</v>
      </c>
      <c r="I33" s="71">
        <f t="shared" si="33"/>
        <v>-11.412821385470652</v>
      </c>
      <c r="J33" s="71">
        <f t="shared" si="14"/>
        <v>-24.595838985654723</v>
      </c>
      <c r="K33" s="73">
        <f t="shared" si="15"/>
        <v>112.51464360423668</v>
      </c>
      <c r="L33" s="73">
        <f t="shared" si="16"/>
        <v>-9.925562356868213</v>
      </c>
      <c r="M33" s="71">
        <f t="shared" si="17"/>
        <v>18.025562356868214</v>
      </c>
      <c r="N33" s="71">
        <f t="shared" si="5"/>
        <v>1.4872590286024376</v>
      </c>
      <c r="O33" s="167">
        <f t="shared" si="18"/>
        <v>0</v>
      </c>
      <c r="P33" s="112"/>
      <c r="Q33" s="124">
        <f t="shared" si="6"/>
        <v>18.547675650946424</v>
      </c>
      <c r="R33" s="124">
        <f t="shared" si="19"/>
        <v>81.9238543298917</v>
      </c>
      <c r="S33" s="124">
        <f t="shared" si="20"/>
        <v>10.923180577318893</v>
      </c>
      <c r="U33" s="203"/>
      <c r="V33" s="203"/>
      <c r="W33" s="203"/>
      <c r="X33" s="204"/>
      <c r="Y33" s="69"/>
      <c r="Z33" s="69"/>
      <c r="AA33" s="319" t="str">
        <f t="shared" si="21"/>
        <v>M3</v>
      </c>
      <c r="AB33" s="69">
        <f t="shared" si="7"/>
        <v>-1.4872590286024376</v>
      </c>
      <c r="AC33" s="320">
        <f t="shared" si="8"/>
        <v>0</v>
      </c>
      <c r="AD33" s="69"/>
      <c r="AE33" s="244"/>
      <c r="AF33" s="239"/>
      <c r="AG33" s="239"/>
      <c r="AH33" s="239"/>
      <c r="AI33" s="244"/>
      <c r="AJ33" s="244"/>
      <c r="AK33" s="244"/>
      <c r="AL33" s="244"/>
      <c r="AM33" s="244"/>
      <c r="AN33" s="244"/>
      <c r="AO33" s="321" t="str">
        <f t="shared" si="22"/>
        <v>M3</v>
      </c>
      <c r="AP33" s="73">
        <f t="shared" si="23"/>
        <v>8.1</v>
      </c>
      <c r="AQ33" s="322">
        <f t="shared" si="1"/>
        <v>19.51282138547065</v>
      </c>
      <c r="AR33" s="323">
        <f t="shared" si="2"/>
        <v>18.025562356868214</v>
      </c>
      <c r="AS33" s="235"/>
      <c r="AT33" s="239"/>
      <c r="AU33" s="239"/>
      <c r="AV33" s="239"/>
      <c r="AW33" s="239"/>
      <c r="AX33" s="239"/>
      <c r="AY33" s="239"/>
      <c r="AZ33" s="239"/>
      <c r="BA33" s="239"/>
      <c r="BB33" s="319" t="str">
        <f t="shared" si="24"/>
        <v>M3</v>
      </c>
      <c r="BC33" s="69">
        <f t="shared" si="9"/>
        <v>135</v>
      </c>
      <c r="BD33" s="320">
        <f t="shared" si="25"/>
        <v>112.51464360423668</v>
      </c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CA33" s="162">
        <f t="shared" si="10"/>
        <v>1</v>
      </c>
      <c r="CB33" s="162">
        <f t="shared" si="26"/>
        <v>0</v>
      </c>
      <c r="CC33" s="162">
        <f t="shared" si="26"/>
        <v>1</v>
      </c>
      <c r="CD33" s="162">
        <f t="shared" si="26"/>
        <v>0</v>
      </c>
      <c r="CE33" s="162">
        <f t="shared" si="26"/>
        <v>0</v>
      </c>
      <c r="CF33" s="162">
        <f t="shared" si="26"/>
        <v>0</v>
      </c>
      <c r="CG33" s="162">
        <f t="shared" si="26"/>
        <v>1</v>
      </c>
      <c r="CH33" s="162">
        <f t="shared" si="26"/>
        <v>0</v>
      </c>
      <c r="CI33" s="162">
        <f t="shared" si="26"/>
        <v>0</v>
      </c>
      <c r="CJ33" s="162">
        <f t="shared" si="26"/>
        <v>1</v>
      </c>
      <c r="CK33" s="162">
        <f t="shared" si="26"/>
        <v>0</v>
      </c>
      <c r="CL33" s="162">
        <f t="shared" si="26"/>
        <v>0</v>
      </c>
      <c r="CM33" s="162">
        <f t="shared" si="27"/>
        <v>0</v>
      </c>
      <c r="CN33" s="162">
        <f t="shared" si="12"/>
        <v>0</v>
      </c>
      <c r="CO33" s="162">
        <f t="shared" si="28"/>
        <v>1</v>
      </c>
      <c r="CP33" s="163">
        <f t="shared" si="29"/>
        <v>112.51464360423668</v>
      </c>
      <c r="CQ33" s="164"/>
      <c r="CR33" s="164"/>
      <c r="CS33" s="164"/>
      <c r="CT33" s="164"/>
      <c r="CU33" s="164"/>
      <c r="CV33" s="164"/>
      <c r="CW33" s="165">
        <f t="shared" si="30"/>
        <v>0</v>
      </c>
      <c r="CX33" s="165">
        <f t="shared" si="31"/>
        <v>242.44376979188036</v>
      </c>
      <c r="CY33" s="162">
        <f t="shared" si="32"/>
        <v>1</v>
      </c>
      <c r="CZ33" s="164"/>
    </row>
    <row r="34" spans="1:104" ht="12.75">
      <c r="A34" s="239"/>
      <c r="B34" s="166" t="s">
        <v>92</v>
      </c>
      <c r="C34" s="114">
        <v>10</v>
      </c>
      <c r="D34" s="233">
        <f t="shared" si="13"/>
        <v>145</v>
      </c>
      <c r="E34" s="157">
        <v>18</v>
      </c>
      <c r="F34" s="157">
        <v>15.6</v>
      </c>
      <c r="G34" s="464">
        <f t="shared" si="3"/>
        <v>10.772139906219609</v>
      </c>
      <c r="H34" s="195">
        <f t="shared" si="4"/>
        <v>16.169746157812156</v>
      </c>
      <c r="I34" s="71">
        <f t="shared" si="33"/>
        <v>-0.5697461578121565</v>
      </c>
      <c r="J34" s="71">
        <f t="shared" si="14"/>
        <v>-25.165585143466878</v>
      </c>
      <c r="K34" s="73">
        <f t="shared" si="15"/>
        <v>112.04079394548586</v>
      </c>
      <c r="L34" s="73">
        <f t="shared" si="16"/>
        <v>-0.4738496587508223</v>
      </c>
      <c r="M34" s="71">
        <f t="shared" si="17"/>
        <v>16.073849658750824</v>
      </c>
      <c r="N34" s="71">
        <f t="shared" si="5"/>
        <v>0.09589649906133246</v>
      </c>
      <c r="O34" s="167">
        <f t="shared" si="18"/>
        <v>0</v>
      </c>
      <c r="P34" s="112"/>
      <c r="Q34" s="124">
        <f t="shared" si="6"/>
        <v>20.91696257447641</v>
      </c>
      <c r="R34" s="124">
        <f t="shared" si="19"/>
        <v>80.79104929664706</v>
      </c>
      <c r="S34" s="124">
        <f t="shared" si="20"/>
        <v>10.772139906219609</v>
      </c>
      <c r="U34" s="203"/>
      <c r="V34" s="203"/>
      <c r="W34" s="203"/>
      <c r="X34" s="204"/>
      <c r="Y34" s="69"/>
      <c r="Z34" s="69"/>
      <c r="AA34" s="319" t="str">
        <f t="shared" si="21"/>
        <v>J1</v>
      </c>
      <c r="AB34" s="69">
        <f t="shared" si="7"/>
        <v>-0.09589649906133246</v>
      </c>
      <c r="AC34" s="320">
        <f t="shared" si="8"/>
        <v>0</v>
      </c>
      <c r="AD34" s="69"/>
      <c r="AE34" s="244"/>
      <c r="AF34" s="239"/>
      <c r="AG34" s="239"/>
      <c r="AH34" s="239"/>
      <c r="AI34" s="244"/>
      <c r="AJ34" s="244"/>
      <c r="AK34" s="244"/>
      <c r="AL34" s="244"/>
      <c r="AM34" s="244"/>
      <c r="AN34" s="244"/>
      <c r="AO34" s="321" t="str">
        <f t="shared" si="22"/>
        <v>J1</v>
      </c>
      <c r="AP34" s="73">
        <f t="shared" si="23"/>
        <v>15.6</v>
      </c>
      <c r="AQ34" s="322">
        <f t="shared" si="1"/>
        <v>16.169746157812156</v>
      </c>
      <c r="AR34" s="323">
        <f t="shared" si="2"/>
        <v>16.073849658750824</v>
      </c>
      <c r="AS34" s="235"/>
      <c r="AT34" s="239"/>
      <c r="AU34" s="239"/>
      <c r="AV34" s="239"/>
      <c r="AW34" s="239"/>
      <c r="AX34" s="239"/>
      <c r="AY34" s="239"/>
      <c r="AZ34" s="239"/>
      <c r="BA34" s="239"/>
      <c r="BB34" s="319" t="str">
        <f t="shared" si="24"/>
        <v>J1</v>
      </c>
      <c r="BC34" s="69">
        <f t="shared" si="9"/>
        <v>135</v>
      </c>
      <c r="BD34" s="320">
        <f t="shared" si="25"/>
        <v>112.04079394548586</v>
      </c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CA34" s="162">
        <f t="shared" si="10"/>
        <v>1</v>
      </c>
      <c r="CB34" s="162">
        <f t="shared" si="26"/>
        <v>0</v>
      </c>
      <c r="CC34" s="162">
        <f t="shared" si="26"/>
        <v>0</v>
      </c>
      <c r="CD34" s="162">
        <f t="shared" si="26"/>
        <v>1</v>
      </c>
      <c r="CE34" s="162">
        <f t="shared" si="26"/>
        <v>0</v>
      </c>
      <c r="CF34" s="162">
        <f t="shared" si="26"/>
        <v>0</v>
      </c>
      <c r="CG34" s="162">
        <f t="shared" si="26"/>
        <v>0</v>
      </c>
      <c r="CH34" s="162">
        <f t="shared" si="26"/>
        <v>1</v>
      </c>
      <c r="CI34" s="162">
        <f t="shared" si="26"/>
        <v>0</v>
      </c>
      <c r="CJ34" s="162">
        <f t="shared" si="26"/>
        <v>0</v>
      </c>
      <c r="CK34" s="162">
        <f t="shared" si="26"/>
        <v>1</v>
      </c>
      <c r="CL34" s="162">
        <f t="shared" si="26"/>
        <v>0</v>
      </c>
      <c r="CM34" s="162">
        <f t="shared" si="27"/>
        <v>0</v>
      </c>
      <c r="CN34" s="162">
        <f t="shared" si="12"/>
        <v>0</v>
      </c>
      <c r="CO34" s="162">
        <f t="shared" si="28"/>
        <v>1</v>
      </c>
      <c r="CP34" s="163">
        <f t="shared" si="29"/>
        <v>112.04079394548586</v>
      </c>
      <c r="CQ34" s="164"/>
      <c r="CR34" s="164"/>
      <c r="CS34" s="164"/>
      <c r="CT34" s="164"/>
      <c r="CU34" s="164"/>
      <c r="CV34" s="164"/>
      <c r="CW34" s="165">
        <f t="shared" si="30"/>
        <v>0</v>
      </c>
      <c r="CX34" s="165">
        <f t="shared" si="31"/>
        <v>242.44376979188036</v>
      </c>
      <c r="CY34" s="162">
        <f t="shared" si="32"/>
        <v>1</v>
      </c>
      <c r="CZ34" s="164"/>
    </row>
    <row r="35" spans="1:104" ht="12.75">
      <c r="A35" s="239"/>
      <c r="B35" s="166" t="s">
        <v>93</v>
      </c>
      <c r="C35" s="114">
        <v>10</v>
      </c>
      <c r="D35" s="233">
        <f t="shared" si="13"/>
        <v>155</v>
      </c>
      <c r="E35" s="157">
        <v>17.5</v>
      </c>
      <c r="F35" s="157">
        <v>21.5</v>
      </c>
      <c r="G35" s="464">
        <f t="shared" si="3"/>
        <v>10.673351642015193</v>
      </c>
      <c r="H35" s="195">
        <f t="shared" si="4"/>
        <v>14.974052080323057</v>
      </c>
      <c r="I35" s="71">
        <f t="shared" si="33"/>
        <v>6.525947919676943</v>
      </c>
      <c r="J35" s="71">
        <f t="shared" si="14"/>
        <v>-17.52283177956118</v>
      </c>
      <c r="K35" s="73">
        <f t="shared" si="15"/>
        <v>118.5667418651628</v>
      </c>
      <c r="L35" s="73">
        <f t="shared" si="16"/>
        <v>6.525947919676938</v>
      </c>
      <c r="M35" s="71">
        <f t="shared" si="17"/>
        <v>14.974052080323057</v>
      </c>
      <c r="N35" s="71">
        <f t="shared" si="5"/>
        <v>0</v>
      </c>
      <c r="O35" s="167">
        <f t="shared" si="18"/>
        <v>0</v>
      </c>
      <c r="P35" s="112"/>
      <c r="Q35" s="124">
        <f t="shared" si="6"/>
        <v>22.423706683580185</v>
      </c>
      <c r="R35" s="124">
        <f t="shared" si="19"/>
        <v>80.05013731511394</v>
      </c>
      <c r="S35" s="124">
        <f t="shared" si="20"/>
        <v>10.673351642015193</v>
      </c>
      <c r="U35" s="203"/>
      <c r="V35" s="203"/>
      <c r="W35" s="203"/>
      <c r="X35" s="204"/>
      <c r="Y35" s="69"/>
      <c r="Z35" s="69"/>
      <c r="AA35" s="319" t="str">
        <f t="shared" si="21"/>
        <v>J2</v>
      </c>
      <c r="AB35" s="69">
        <f t="shared" si="7"/>
        <v>0</v>
      </c>
      <c r="AC35" s="320">
        <f t="shared" si="8"/>
        <v>0</v>
      </c>
      <c r="AD35" s="69"/>
      <c r="AE35" s="244"/>
      <c r="AF35" s="239"/>
      <c r="AG35" s="239"/>
      <c r="AH35" s="239"/>
      <c r="AI35" s="244"/>
      <c r="AJ35" s="244"/>
      <c r="AK35" s="244"/>
      <c r="AL35" s="244"/>
      <c r="AM35" s="244"/>
      <c r="AN35" s="244"/>
      <c r="AO35" s="321" t="str">
        <f t="shared" si="22"/>
        <v>J2</v>
      </c>
      <c r="AP35" s="73">
        <f t="shared" si="23"/>
        <v>21.5</v>
      </c>
      <c r="AQ35" s="322">
        <f t="shared" si="1"/>
        <v>14.974052080323057</v>
      </c>
      <c r="AR35" s="323">
        <f t="shared" si="2"/>
        <v>14.974052080323057</v>
      </c>
      <c r="AS35" s="235"/>
      <c r="AT35" s="239"/>
      <c r="AU35" s="239"/>
      <c r="AV35" s="239"/>
      <c r="AW35" s="239"/>
      <c r="AX35" s="239"/>
      <c r="AY35" s="239"/>
      <c r="AZ35" s="239"/>
      <c r="BA35" s="239"/>
      <c r="BB35" s="319" t="str">
        <f t="shared" si="24"/>
        <v>J2</v>
      </c>
      <c r="BC35" s="69">
        <f t="shared" si="9"/>
        <v>135</v>
      </c>
      <c r="BD35" s="320">
        <f t="shared" si="25"/>
        <v>118.5667418651628</v>
      </c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CA35" s="162">
        <f t="shared" si="10"/>
        <v>0</v>
      </c>
      <c r="CB35" s="162">
        <f t="shared" si="26"/>
        <v>1</v>
      </c>
      <c r="CC35" s="162">
        <f t="shared" si="26"/>
        <v>0</v>
      </c>
      <c r="CD35" s="162">
        <f t="shared" si="26"/>
        <v>0</v>
      </c>
      <c r="CE35" s="162">
        <f t="shared" si="26"/>
        <v>1</v>
      </c>
      <c r="CF35" s="162">
        <f t="shared" si="26"/>
        <v>0</v>
      </c>
      <c r="CG35" s="162">
        <f t="shared" si="26"/>
        <v>0</v>
      </c>
      <c r="CH35" s="162">
        <f t="shared" si="26"/>
        <v>0</v>
      </c>
      <c r="CI35" s="162">
        <f t="shared" si="26"/>
        <v>1</v>
      </c>
      <c r="CJ35" s="162">
        <f t="shared" si="26"/>
        <v>0</v>
      </c>
      <c r="CK35" s="162">
        <f t="shared" si="26"/>
        <v>0</v>
      </c>
      <c r="CL35" s="162">
        <f t="shared" si="26"/>
        <v>1</v>
      </c>
      <c r="CM35" s="162">
        <f t="shared" si="27"/>
        <v>0</v>
      </c>
      <c r="CN35" s="162">
        <f t="shared" si="12"/>
        <v>0</v>
      </c>
      <c r="CO35" s="162">
        <f t="shared" si="28"/>
        <v>1</v>
      </c>
      <c r="CP35" s="163">
        <f t="shared" si="29"/>
        <v>118.5667418651628</v>
      </c>
      <c r="CQ35" s="164"/>
      <c r="CR35" s="164"/>
      <c r="CS35" s="164"/>
      <c r="CT35" s="164"/>
      <c r="CU35" s="164"/>
      <c r="CV35" s="164"/>
      <c r="CW35" s="165">
        <f t="shared" si="30"/>
        <v>6.525947919676943</v>
      </c>
      <c r="CX35" s="165">
        <f t="shared" si="31"/>
        <v>248.9697177115573</v>
      </c>
      <c r="CY35" s="162">
        <f t="shared" si="32"/>
        <v>1</v>
      </c>
      <c r="CZ35" s="164"/>
    </row>
    <row r="36" spans="1:104" ht="12.75">
      <c r="A36" s="239"/>
      <c r="B36" s="166" t="s">
        <v>94</v>
      </c>
      <c r="C36" s="114">
        <v>10</v>
      </c>
      <c r="D36" s="233">
        <f t="shared" si="13"/>
        <v>165</v>
      </c>
      <c r="E36" s="157">
        <v>17</v>
      </c>
      <c r="F36" s="157">
        <v>6.5</v>
      </c>
      <c r="G36" s="464">
        <f t="shared" si="3"/>
        <v>10.616988917111485</v>
      </c>
      <c r="H36" s="195">
        <f t="shared" si="4"/>
        <v>13.893957942506336</v>
      </c>
      <c r="I36" s="71">
        <f t="shared" si="33"/>
        <v>-7.393957942506336</v>
      </c>
      <c r="J36" s="71">
        <f t="shared" si="14"/>
        <v>-24.916789722067517</v>
      </c>
      <c r="K36" s="73">
        <f t="shared" si="15"/>
        <v>112.24746756305332</v>
      </c>
      <c r="L36" s="73">
        <f t="shared" si="16"/>
        <v>-6.319274302109477</v>
      </c>
      <c r="M36" s="71">
        <f t="shared" si="17"/>
        <v>12.819274302109477</v>
      </c>
      <c r="N36" s="71">
        <f t="shared" si="5"/>
        <v>1.0746836403968594</v>
      </c>
      <c r="O36" s="167">
        <f t="shared" si="18"/>
        <v>0</v>
      </c>
      <c r="P36" s="112"/>
      <c r="Q36" s="124">
        <f t="shared" si="6"/>
        <v>23.26761081085051</v>
      </c>
      <c r="R36" s="124">
        <f t="shared" si="19"/>
        <v>79.62741687833613</v>
      </c>
      <c r="S36" s="124">
        <f t="shared" si="20"/>
        <v>10.616988917111485</v>
      </c>
      <c r="U36" s="203"/>
      <c r="V36" s="203"/>
      <c r="W36" s="203"/>
      <c r="X36" s="204"/>
      <c r="Y36" s="69"/>
      <c r="Z36" s="69"/>
      <c r="AA36" s="319" t="str">
        <f t="shared" si="21"/>
        <v>J3</v>
      </c>
      <c r="AB36" s="69">
        <f t="shared" si="7"/>
        <v>-1.0746836403968594</v>
      </c>
      <c r="AC36" s="320">
        <f t="shared" si="8"/>
        <v>0</v>
      </c>
      <c r="AD36" s="69"/>
      <c r="AE36" s="244"/>
      <c r="AF36" s="239"/>
      <c r="AG36" s="239"/>
      <c r="AH36" s="239"/>
      <c r="AI36" s="244"/>
      <c r="AJ36" s="244"/>
      <c r="AK36" s="244"/>
      <c r="AL36" s="244"/>
      <c r="AM36" s="244"/>
      <c r="AN36" s="244"/>
      <c r="AO36" s="321" t="str">
        <f t="shared" si="22"/>
        <v>J3</v>
      </c>
      <c r="AP36" s="73">
        <f t="shared" si="23"/>
        <v>6.5</v>
      </c>
      <c r="AQ36" s="322">
        <f t="shared" si="1"/>
        <v>13.893957942506336</v>
      </c>
      <c r="AR36" s="323">
        <f t="shared" si="2"/>
        <v>12.819274302109477</v>
      </c>
      <c r="AS36" s="235"/>
      <c r="AT36" s="239"/>
      <c r="AU36" s="239"/>
      <c r="AV36" s="239"/>
      <c r="AW36" s="239"/>
      <c r="AX36" s="239"/>
      <c r="AY36" s="239"/>
      <c r="AZ36" s="239"/>
      <c r="BA36" s="239"/>
      <c r="BB36" s="319" t="str">
        <f t="shared" si="24"/>
        <v>J3</v>
      </c>
      <c r="BC36" s="69">
        <f t="shared" si="9"/>
        <v>135</v>
      </c>
      <c r="BD36" s="320">
        <f t="shared" si="25"/>
        <v>112.24746756305332</v>
      </c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CA36" s="162">
        <f t="shared" si="10"/>
        <v>1</v>
      </c>
      <c r="CB36" s="162">
        <f aca="true" t="shared" si="34" ref="CB36:CL51">IF(AND(CA35=1,CA36=0),1,0)</f>
        <v>0</v>
      </c>
      <c r="CC36" s="162">
        <f t="shared" si="34"/>
        <v>1</v>
      </c>
      <c r="CD36" s="162">
        <f t="shared" si="34"/>
        <v>0</v>
      </c>
      <c r="CE36" s="162">
        <f t="shared" si="34"/>
        <v>0</v>
      </c>
      <c r="CF36" s="162">
        <f t="shared" si="34"/>
        <v>1</v>
      </c>
      <c r="CG36" s="162">
        <f t="shared" si="34"/>
        <v>0</v>
      </c>
      <c r="CH36" s="162">
        <f t="shared" si="34"/>
        <v>0</v>
      </c>
      <c r="CI36" s="162">
        <f t="shared" si="34"/>
        <v>0</v>
      </c>
      <c r="CJ36" s="162">
        <f t="shared" si="34"/>
        <v>1</v>
      </c>
      <c r="CK36" s="162">
        <f t="shared" si="34"/>
        <v>0</v>
      </c>
      <c r="CL36" s="162">
        <f t="shared" si="34"/>
        <v>0</v>
      </c>
      <c r="CM36" s="162">
        <f t="shared" si="27"/>
        <v>0</v>
      </c>
      <c r="CN36" s="162">
        <f t="shared" si="12"/>
        <v>0</v>
      </c>
      <c r="CO36" s="162">
        <f t="shared" si="28"/>
        <v>1</v>
      </c>
      <c r="CP36" s="163">
        <f t="shared" si="29"/>
        <v>112.24746756305332</v>
      </c>
      <c r="CQ36" s="164"/>
      <c r="CR36" s="164"/>
      <c r="CS36" s="164"/>
      <c r="CT36" s="164"/>
      <c r="CU36" s="164"/>
      <c r="CV36" s="164"/>
      <c r="CW36" s="165">
        <f t="shared" si="30"/>
        <v>0</v>
      </c>
      <c r="CX36" s="165">
        <f t="shared" si="31"/>
        <v>248.9697177115573</v>
      </c>
      <c r="CY36" s="162">
        <f t="shared" si="32"/>
        <v>1</v>
      </c>
      <c r="CZ36" s="164"/>
    </row>
    <row r="37" spans="1:104" ht="12.75">
      <c r="A37" s="239"/>
      <c r="B37" s="166" t="s">
        <v>92</v>
      </c>
      <c r="C37" s="114">
        <v>10</v>
      </c>
      <c r="D37" s="233">
        <f t="shared" si="13"/>
        <v>175</v>
      </c>
      <c r="E37" s="157">
        <v>17</v>
      </c>
      <c r="F37" s="157">
        <v>19</v>
      </c>
      <c r="G37" s="464">
        <f t="shared" si="3"/>
        <v>10.606476121214367</v>
      </c>
      <c r="H37" s="195">
        <f t="shared" si="4"/>
        <v>13.880200337106816</v>
      </c>
      <c r="I37" s="71">
        <f t="shared" si="33"/>
        <v>5.119799662893184</v>
      </c>
      <c r="J37" s="71">
        <f t="shared" si="14"/>
        <v>-18.895507741262175</v>
      </c>
      <c r="K37" s="73">
        <f t="shared" si="15"/>
        <v>117.3672672259465</v>
      </c>
      <c r="L37" s="73">
        <f t="shared" si="16"/>
        <v>5.119799662893186</v>
      </c>
      <c r="M37" s="71">
        <f t="shared" si="17"/>
        <v>13.880200337106816</v>
      </c>
      <c r="N37" s="71">
        <f t="shared" si="5"/>
        <v>0</v>
      </c>
      <c r="O37" s="167">
        <f t="shared" si="18"/>
        <v>0</v>
      </c>
      <c r="P37" s="112"/>
      <c r="Q37" s="124">
        <f t="shared" si="6"/>
        <v>23.423729330469037</v>
      </c>
      <c r="R37" s="124">
        <f t="shared" si="19"/>
        <v>79.54857090910775</v>
      </c>
      <c r="S37" s="124">
        <f t="shared" si="20"/>
        <v>10.606476121214367</v>
      </c>
      <c r="U37" s="203"/>
      <c r="V37" s="203"/>
      <c r="W37" s="203"/>
      <c r="X37" s="204"/>
      <c r="Y37" s="69"/>
      <c r="Z37" s="69"/>
      <c r="AA37" s="319" t="str">
        <f t="shared" si="21"/>
        <v>J1</v>
      </c>
      <c r="AB37" s="69">
        <f t="shared" si="7"/>
        <v>0</v>
      </c>
      <c r="AC37" s="320">
        <f t="shared" si="8"/>
        <v>0</v>
      </c>
      <c r="AD37" s="69"/>
      <c r="AE37" s="244"/>
      <c r="AF37" s="239"/>
      <c r="AG37" s="239"/>
      <c r="AH37" s="239"/>
      <c r="AI37" s="244"/>
      <c r="AJ37" s="244"/>
      <c r="AK37" s="244"/>
      <c r="AL37" s="244"/>
      <c r="AM37" s="244"/>
      <c r="AN37" s="244"/>
      <c r="AO37" s="321" t="str">
        <f t="shared" si="22"/>
        <v>J1</v>
      </c>
      <c r="AP37" s="73">
        <f t="shared" si="23"/>
        <v>19</v>
      </c>
      <c r="AQ37" s="322">
        <f t="shared" si="1"/>
        <v>13.880200337106816</v>
      </c>
      <c r="AR37" s="323">
        <f t="shared" si="2"/>
        <v>13.880200337106816</v>
      </c>
      <c r="AS37" s="235"/>
      <c r="AT37" s="239"/>
      <c r="AU37" s="239"/>
      <c r="AV37" s="239"/>
      <c r="AW37" s="239"/>
      <c r="AX37" s="239"/>
      <c r="AY37" s="239"/>
      <c r="AZ37" s="239"/>
      <c r="BA37" s="239"/>
      <c r="BB37" s="319" t="str">
        <f t="shared" si="24"/>
        <v>J1</v>
      </c>
      <c r="BC37" s="69">
        <f t="shared" si="9"/>
        <v>135</v>
      </c>
      <c r="BD37" s="320">
        <f t="shared" si="25"/>
        <v>117.3672672259465</v>
      </c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CA37" s="162">
        <f t="shared" si="10"/>
        <v>0</v>
      </c>
      <c r="CB37" s="162">
        <f t="shared" si="34"/>
        <v>1</v>
      </c>
      <c r="CC37" s="162">
        <f t="shared" si="34"/>
        <v>0</v>
      </c>
      <c r="CD37" s="162">
        <f t="shared" si="34"/>
        <v>1</v>
      </c>
      <c r="CE37" s="162">
        <f t="shared" si="34"/>
        <v>0</v>
      </c>
      <c r="CF37" s="162">
        <f t="shared" si="34"/>
        <v>0</v>
      </c>
      <c r="CG37" s="162">
        <f t="shared" si="34"/>
        <v>1</v>
      </c>
      <c r="CH37" s="162">
        <f t="shared" si="34"/>
        <v>0</v>
      </c>
      <c r="CI37" s="162">
        <f t="shared" si="34"/>
        <v>0</v>
      </c>
      <c r="CJ37" s="162">
        <f t="shared" si="34"/>
        <v>0</v>
      </c>
      <c r="CK37" s="162">
        <f t="shared" si="34"/>
        <v>1</v>
      </c>
      <c r="CL37" s="162">
        <f t="shared" si="34"/>
        <v>0</v>
      </c>
      <c r="CM37" s="162">
        <f t="shared" si="27"/>
        <v>0</v>
      </c>
      <c r="CN37" s="162">
        <f t="shared" si="12"/>
        <v>0</v>
      </c>
      <c r="CO37" s="162">
        <f t="shared" si="28"/>
        <v>1</v>
      </c>
      <c r="CP37" s="163">
        <f t="shared" si="29"/>
        <v>117.3672672259465</v>
      </c>
      <c r="CQ37" s="164"/>
      <c r="CR37" s="164"/>
      <c r="CS37" s="164"/>
      <c r="CT37" s="164"/>
      <c r="CU37" s="164"/>
      <c r="CV37" s="164"/>
      <c r="CW37" s="165">
        <f t="shared" si="30"/>
        <v>5.119799662893184</v>
      </c>
      <c r="CX37" s="165">
        <f t="shared" si="31"/>
        <v>254.08951737445048</v>
      </c>
      <c r="CY37" s="162">
        <f t="shared" si="32"/>
        <v>1</v>
      </c>
      <c r="CZ37" s="164"/>
    </row>
    <row r="38" spans="1:104" ht="12.75">
      <c r="A38" s="239"/>
      <c r="B38" s="166" t="s">
        <v>93</v>
      </c>
      <c r="C38" s="114">
        <v>10</v>
      </c>
      <c r="D38" s="233">
        <f t="shared" si="13"/>
        <v>185</v>
      </c>
      <c r="E38" s="157">
        <v>17.5</v>
      </c>
      <c r="F38" s="157">
        <v>9.2</v>
      </c>
      <c r="G38" s="464">
        <f t="shared" si="3"/>
        <v>10.642475189733581</v>
      </c>
      <c r="H38" s="195">
        <f t="shared" si="4"/>
        <v>14.930734327846837</v>
      </c>
      <c r="I38" s="71">
        <f t="shared" si="33"/>
        <v>-5.730734327846838</v>
      </c>
      <c r="J38" s="71">
        <f t="shared" si="14"/>
        <v>-24.62624206910901</v>
      </c>
      <c r="K38" s="73">
        <f t="shared" si="15"/>
        <v>112.48930725658242</v>
      </c>
      <c r="L38" s="73">
        <f t="shared" si="16"/>
        <v>-4.877959969364085</v>
      </c>
      <c r="M38" s="71">
        <f t="shared" si="17"/>
        <v>14.077959969364084</v>
      </c>
      <c r="N38" s="71">
        <f t="shared" si="5"/>
        <v>0.852774358482753</v>
      </c>
      <c r="O38" s="167">
        <f t="shared" si="18"/>
        <v>0</v>
      </c>
      <c r="P38" s="112"/>
      <c r="Q38" s="124">
        <f t="shared" si="6"/>
        <v>22.887447412329035</v>
      </c>
      <c r="R38" s="124">
        <f t="shared" si="19"/>
        <v>79.81856392300186</v>
      </c>
      <c r="S38" s="124">
        <f t="shared" si="20"/>
        <v>10.642475189733581</v>
      </c>
      <c r="U38" s="203"/>
      <c r="V38" s="203"/>
      <c r="W38" s="203"/>
      <c r="X38" s="204"/>
      <c r="Y38" s="69"/>
      <c r="Z38" s="69"/>
      <c r="AA38" s="319" t="str">
        <f t="shared" si="21"/>
        <v>J2</v>
      </c>
      <c r="AB38" s="69">
        <f t="shared" si="7"/>
        <v>-0.852774358482753</v>
      </c>
      <c r="AC38" s="320">
        <f t="shared" si="8"/>
        <v>0</v>
      </c>
      <c r="AD38" s="69"/>
      <c r="AE38" s="244"/>
      <c r="AF38" s="239"/>
      <c r="AG38" s="239"/>
      <c r="AH38" s="239"/>
      <c r="AI38" s="244"/>
      <c r="AJ38" s="244"/>
      <c r="AK38" s="244"/>
      <c r="AL38" s="244"/>
      <c r="AM38" s="244"/>
      <c r="AN38" s="244"/>
      <c r="AO38" s="321" t="str">
        <f t="shared" si="22"/>
        <v>J2</v>
      </c>
      <c r="AP38" s="73">
        <f t="shared" si="23"/>
        <v>9.2</v>
      </c>
      <c r="AQ38" s="322">
        <f t="shared" si="1"/>
        <v>14.930734327846837</v>
      </c>
      <c r="AR38" s="323">
        <f t="shared" si="2"/>
        <v>14.077959969364084</v>
      </c>
      <c r="AS38" s="235"/>
      <c r="AT38" s="239"/>
      <c r="AU38" s="239"/>
      <c r="AV38" s="239"/>
      <c r="AW38" s="239"/>
      <c r="AX38" s="239"/>
      <c r="AY38" s="239"/>
      <c r="AZ38" s="239"/>
      <c r="BA38" s="239"/>
      <c r="BB38" s="319" t="str">
        <f t="shared" si="24"/>
        <v>J2</v>
      </c>
      <c r="BC38" s="69">
        <f t="shared" si="9"/>
        <v>135</v>
      </c>
      <c r="BD38" s="320">
        <f t="shared" si="25"/>
        <v>112.48930725658242</v>
      </c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CA38" s="162">
        <f t="shared" si="10"/>
        <v>1</v>
      </c>
      <c r="CB38" s="162">
        <f t="shared" si="34"/>
        <v>0</v>
      </c>
      <c r="CC38" s="162">
        <f t="shared" si="34"/>
        <v>1</v>
      </c>
      <c r="CD38" s="162">
        <f t="shared" si="34"/>
        <v>0</v>
      </c>
      <c r="CE38" s="162">
        <f t="shared" si="34"/>
        <v>1</v>
      </c>
      <c r="CF38" s="162">
        <f t="shared" si="34"/>
        <v>0</v>
      </c>
      <c r="CG38" s="162">
        <f t="shared" si="34"/>
        <v>0</v>
      </c>
      <c r="CH38" s="162">
        <f t="shared" si="34"/>
        <v>1</v>
      </c>
      <c r="CI38" s="162">
        <f t="shared" si="34"/>
        <v>0</v>
      </c>
      <c r="CJ38" s="162">
        <f t="shared" si="34"/>
        <v>0</v>
      </c>
      <c r="CK38" s="162">
        <f t="shared" si="34"/>
        <v>0</v>
      </c>
      <c r="CL38" s="162">
        <f t="shared" si="34"/>
        <v>1</v>
      </c>
      <c r="CM38" s="162">
        <f t="shared" si="27"/>
        <v>0</v>
      </c>
      <c r="CN38" s="162">
        <f t="shared" si="12"/>
        <v>0</v>
      </c>
      <c r="CO38" s="162">
        <f t="shared" si="28"/>
        <v>1</v>
      </c>
      <c r="CP38" s="163">
        <f t="shared" si="29"/>
        <v>112.48930725658242</v>
      </c>
      <c r="CQ38" s="164"/>
      <c r="CR38" s="164"/>
      <c r="CS38" s="164"/>
      <c r="CT38" s="164"/>
      <c r="CU38" s="164"/>
      <c r="CV38" s="164"/>
      <c r="CW38" s="165">
        <f t="shared" si="30"/>
        <v>0</v>
      </c>
      <c r="CX38" s="165">
        <f t="shared" si="31"/>
        <v>254.08951737445048</v>
      </c>
      <c r="CY38" s="162">
        <f t="shared" si="32"/>
        <v>1</v>
      </c>
      <c r="CZ38" s="164"/>
    </row>
    <row r="39" spans="1:104" ht="12.75">
      <c r="A39" s="239"/>
      <c r="B39" s="166" t="s">
        <v>94</v>
      </c>
      <c r="C39" s="114">
        <v>11</v>
      </c>
      <c r="D39" s="233">
        <f t="shared" si="13"/>
        <v>195</v>
      </c>
      <c r="E39" s="157">
        <v>17.8</v>
      </c>
      <c r="F39" s="157">
        <v>0</v>
      </c>
      <c r="G39" s="464">
        <f t="shared" si="3"/>
        <v>10.722750023673516</v>
      </c>
      <c r="H39" s="195">
        <f t="shared" si="4"/>
        <v>17.236698170818183</v>
      </c>
      <c r="I39" s="71">
        <f t="shared" si="33"/>
        <v>-17.236698170818183</v>
      </c>
      <c r="J39" s="71">
        <f t="shared" si="14"/>
        <v>-41.8629402399272</v>
      </c>
      <c r="K39" s="73">
        <f t="shared" si="15"/>
        <v>99.00584856554953</v>
      </c>
      <c r="L39" s="73">
        <f t="shared" si="16"/>
        <v>-13.483458691032894</v>
      </c>
      <c r="M39" s="71">
        <f t="shared" si="17"/>
        <v>13.483458691032894</v>
      </c>
      <c r="N39" s="71">
        <f t="shared" si="5"/>
        <v>3.7532394797852895</v>
      </c>
      <c r="O39" s="167">
        <f t="shared" si="18"/>
        <v>0</v>
      </c>
      <c r="P39" s="112"/>
      <c r="Q39" s="124">
        <f t="shared" si="6"/>
        <v>21.67461743542804</v>
      </c>
      <c r="R39" s="124">
        <f t="shared" si="19"/>
        <v>80.42062517755137</v>
      </c>
      <c r="S39" s="124">
        <f t="shared" si="20"/>
        <v>10.722750023673516</v>
      </c>
      <c r="U39" s="203"/>
      <c r="V39" s="203"/>
      <c r="W39" s="203"/>
      <c r="X39" s="204"/>
      <c r="Y39" s="69"/>
      <c r="Z39" s="69"/>
      <c r="AA39" s="319" t="str">
        <f t="shared" si="21"/>
        <v>J3</v>
      </c>
      <c r="AB39" s="69">
        <f t="shared" si="7"/>
        <v>-3.7532394797852895</v>
      </c>
      <c r="AC39" s="320">
        <f t="shared" si="8"/>
        <v>0</v>
      </c>
      <c r="AD39" s="69"/>
      <c r="AE39" s="244"/>
      <c r="AF39" s="239"/>
      <c r="AG39" s="239"/>
      <c r="AH39" s="239"/>
      <c r="AI39" s="244"/>
      <c r="AJ39" s="244"/>
      <c r="AK39" s="244"/>
      <c r="AL39" s="244"/>
      <c r="AM39" s="244"/>
      <c r="AN39" s="244"/>
      <c r="AO39" s="321" t="str">
        <f t="shared" si="22"/>
        <v>J3</v>
      </c>
      <c r="AP39" s="73">
        <f t="shared" si="23"/>
        <v>0</v>
      </c>
      <c r="AQ39" s="322">
        <f t="shared" si="1"/>
        <v>17.236698170818183</v>
      </c>
      <c r="AR39" s="323">
        <f t="shared" si="2"/>
        <v>13.483458691032894</v>
      </c>
      <c r="AS39" s="235"/>
      <c r="AT39" s="239"/>
      <c r="AU39" s="239"/>
      <c r="AV39" s="239"/>
      <c r="AW39" s="239"/>
      <c r="AX39" s="239"/>
      <c r="AY39" s="239"/>
      <c r="AZ39" s="239"/>
      <c r="BA39" s="239"/>
      <c r="BB39" s="319" t="str">
        <f t="shared" si="24"/>
        <v>J3</v>
      </c>
      <c r="BC39" s="69">
        <f t="shared" si="9"/>
        <v>135</v>
      </c>
      <c r="BD39" s="320">
        <f t="shared" si="25"/>
        <v>99.00584856554953</v>
      </c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CA39" s="162">
        <f t="shared" si="10"/>
        <v>1</v>
      </c>
      <c r="CB39" s="162">
        <f t="shared" si="34"/>
        <v>0</v>
      </c>
      <c r="CC39" s="162">
        <f t="shared" si="34"/>
        <v>0</v>
      </c>
      <c r="CD39" s="162">
        <f t="shared" si="34"/>
        <v>1</v>
      </c>
      <c r="CE39" s="162">
        <f t="shared" si="34"/>
        <v>0</v>
      </c>
      <c r="CF39" s="162">
        <f t="shared" si="34"/>
        <v>1</v>
      </c>
      <c r="CG39" s="162">
        <f t="shared" si="34"/>
        <v>0</v>
      </c>
      <c r="CH39" s="162">
        <f t="shared" si="34"/>
        <v>0</v>
      </c>
      <c r="CI39" s="162">
        <f t="shared" si="34"/>
        <v>1</v>
      </c>
      <c r="CJ39" s="162">
        <f t="shared" si="34"/>
        <v>0</v>
      </c>
      <c r="CK39" s="162">
        <f t="shared" si="34"/>
        <v>0</v>
      </c>
      <c r="CL39" s="162">
        <f t="shared" si="34"/>
        <v>0</v>
      </c>
      <c r="CM39" s="162">
        <f t="shared" si="27"/>
        <v>0</v>
      </c>
      <c r="CN39" s="162">
        <f t="shared" si="12"/>
        <v>0</v>
      </c>
      <c r="CO39" s="162">
        <f t="shared" si="28"/>
        <v>1</v>
      </c>
      <c r="CP39" s="163">
        <f t="shared" si="29"/>
        <v>99.00584856554953</v>
      </c>
      <c r="CQ39" s="164"/>
      <c r="CR39" s="164"/>
      <c r="CS39" s="164"/>
      <c r="CT39" s="164"/>
      <c r="CU39" s="164"/>
      <c r="CV39" s="164"/>
      <c r="CW39" s="165">
        <f t="shared" si="30"/>
        <v>0</v>
      </c>
      <c r="CX39" s="165">
        <f t="shared" si="31"/>
        <v>254.08951737445048</v>
      </c>
      <c r="CY39" s="162">
        <f t="shared" si="32"/>
        <v>1</v>
      </c>
      <c r="CZ39" s="164"/>
    </row>
    <row r="40" spans="1:104" ht="12.75">
      <c r="A40" s="239"/>
      <c r="B40" s="166" t="s">
        <v>101</v>
      </c>
      <c r="C40" s="114">
        <v>10</v>
      </c>
      <c r="D40" s="233">
        <f t="shared" si="13"/>
        <v>206</v>
      </c>
      <c r="E40" s="157">
        <v>18</v>
      </c>
      <c r="F40" s="157">
        <v>0</v>
      </c>
      <c r="G40" s="464">
        <f t="shared" si="3"/>
        <v>10.856546782756972</v>
      </c>
      <c r="H40" s="195">
        <f t="shared" si="4"/>
        <v>16.296446867185132</v>
      </c>
      <c r="I40" s="71">
        <f t="shared" si="33"/>
        <v>-16.296446867185132</v>
      </c>
      <c r="J40" s="71">
        <f t="shared" si="14"/>
        <v>-58.15938710711233</v>
      </c>
      <c r="K40" s="73">
        <f t="shared" si="15"/>
        <v>87.7475993003301</v>
      </c>
      <c r="L40" s="73">
        <f t="shared" si="16"/>
        <v>-11.258249265219433</v>
      </c>
      <c r="M40" s="71">
        <f t="shared" si="17"/>
        <v>11.258249265219433</v>
      </c>
      <c r="N40" s="71">
        <f t="shared" si="5"/>
        <v>5.038197601965699</v>
      </c>
      <c r="O40" s="167">
        <f t="shared" si="18"/>
        <v>0</v>
      </c>
      <c r="P40" s="112"/>
      <c r="Q40" s="124">
        <f t="shared" si="6"/>
        <v>19.60245249236704</v>
      </c>
      <c r="R40" s="124">
        <f t="shared" si="19"/>
        <v>81.4241008706773</v>
      </c>
      <c r="S40" s="124">
        <f t="shared" si="20"/>
        <v>10.856546782756972</v>
      </c>
      <c r="U40" s="203"/>
      <c r="V40" s="203"/>
      <c r="W40" s="203"/>
      <c r="X40" s="204"/>
      <c r="Y40" s="69"/>
      <c r="Z40" s="69"/>
      <c r="AA40" s="319" t="str">
        <f t="shared" si="21"/>
        <v>A1</v>
      </c>
      <c r="AB40" s="69">
        <f t="shared" si="7"/>
        <v>-5.038197601965699</v>
      </c>
      <c r="AC40" s="320">
        <f t="shared" si="8"/>
        <v>0</v>
      </c>
      <c r="AD40" s="69"/>
      <c r="AE40" s="244"/>
      <c r="AF40" s="239"/>
      <c r="AG40" s="239"/>
      <c r="AH40" s="239"/>
      <c r="AI40" s="244"/>
      <c r="AJ40" s="244"/>
      <c r="AK40" s="244"/>
      <c r="AL40" s="244"/>
      <c r="AM40" s="244"/>
      <c r="AN40" s="244"/>
      <c r="AO40" s="321" t="str">
        <f t="shared" si="22"/>
        <v>A1</v>
      </c>
      <c r="AP40" s="73">
        <f t="shared" si="23"/>
        <v>0</v>
      </c>
      <c r="AQ40" s="322">
        <f t="shared" si="1"/>
        <v>16.296446867185132</v>
      </c>
      <c r="AR40" s="323">
        <f t="shared" si="2"/>
        <v>11.258249265219433</v>
      </c>
      <c r="AS40" s="235"/>
      <c r="AT40" s="239"/>
      <c r="AU40" s="239"/>
      <c r="AV40" s="239"/>
      <c r="AW40" s="239"/>
      <c r="AX40" s="239"/>
      <c r="AY40" s="239"/>
      <c r="AZ40" s="239"/>
      <c r="BA40" s="239"/>
      <c r="BB40" s="319" t="str">
        <f t="shared" si="24"/>
        <v>A1</v>
      </c>
      <c r="BC40" s="69">
        <f t="shared" si="9"/>
        <v>135</v>
      </c>
      <c r="BD40" s="320">
        <f t="shared" si="25"/>
        <v>87.7475993003301</v>
      </c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CA40" s="162">
        <f t="shared" si="10"/>
        <v>1</v>
      </c>
      <c r="CB40" s="162">
        <f t="shared" si="34"/>
        <v>0</v>
      </c>
      <c r="CC40" s="162">
        <f t="shared" si="34"/>
        <v>0</v>
      </c>
      <c r="CD40" s="162">
        <f t="shared" si="34"/>
        <v>0</v>
      </c>
      <c r="CE40" s="162">
        <f t="shared" si="34"/>
        <v>1</v>
      </c>
      <c r="CF40" s="162">
        <f t="shared" si="34"/>
        <v>0</v>
      </c>
      <c r="CG40" s="162">
        <f t="shared" si="34"/>
        <v>1</v>
      </c>
      <c r="CH40" s="162">
        <f t="shared" si="34"/>
        <v>0</v>
      </c>
      <c r="CI40" s="162">
        <f t="shared" si="34"/>
        <v>0</v>
      </c>
      <c r="CJ40" s="162">
        <f t="shared" si="34"/>
        <v>1</v>
      </c>
      <c r="CK40" s="162">
        <f t="shared" si="34"/>
        <v>0</v>
      </c>
      <c r="CL40" s="162">
        <f t="shared" si="34"/>
        <v>0</v>
      </c>
      <c r="CM40" s="162">
        <f t="shared" si="27"/>
        <v>0</v>
      </c>
      <c r="CN40" s="162">
        <f t="shared" si="12"/>
        <v>0</v>
      </c>
      <c r="CO40" s="162">
        <f t="shared" si="28"/>
        <v>1</v>
      </c>
      <c r="CP40" s="163">
        <f t="shared" si="29"/>
        <v>87.7475993003301</v>
      </c>
      <c r="CQ40" s="164"/>
      <c r="CR40" s="164"/>
      <c r="CS40" s="164"/>
      <c r="CT40" s="164"/>
      <c r="CU40" s="164"/>
      <c r="CV40" s="164"/>
      <c r="CW40" s="165">
        <f t="shared" si="30"/>
        <v>0</v>
      </c>
      <c r="CX40" s="165">
        <f t="shared" si="31"/>
        <v>254.08951737445048</v>
      </c>
      <c r="CY40" s="162">
        <f t="shared" si="32"/>
        <v>1</v>
      </c>
      <c r="CZ40" s="164"/>
    </row>
    <row r="41" spans="1:104" ht="12.75">
      <c r="A41" s="239"/>
      <c r="B41" s="166" t="s">
        <v>102</v>
      </c>
      <c r="C41" s="114">
        <v>10</v>
      </c>
      <c r="D41" s="233">
        <f t="shared" si="13"/>
        <v>216</v>
      </c>
      <c r="E41" s="157">
        <v>18.5</v>
      </c>
      <c r="F41" s="157">
        <v>10.5</v>
      </c>
      <c r="G41" s="464">
        <f t="shared" si="3"/>
        <v>11.012684168044268</v>
      </c>
      <c r="H41" s="195">
        <f t="shared" si="4"/>
        <v>17.654382715119944</v>
      </c>
      <c r="I41" s="71">
        <f t="shared" si="33"/>
        <v>-7.154382715119944</v>
      </c>
      <c r="J41" s="71">
        <f t="shared" si="14"/>
        <v>-65.31376982223227</v>
      </c>
      <c r="K41" s="73">
        <f t="shared" si="15"/>
        <v>83.21844983361565</v>
      </c>
      <c r="L41" s="73">
        <f t="shared" si="16"/>
        <v>-4.529149466714443</v>
      </c>
      <c r="M41" s="71">
        <f t="shared" si="17"/>
        <v>15.029149466714443</v>
      </c>
      <c r="N41" s="71">
        <f t="shared" si="5"/>
        <v>2.6252332484055003</v>
      </c>
      <c r="O41" s="167">
        <f t="shared" si="18"/>
        <v>0</v>
      </c>
      <c r="P41" s="112"/>
      <c r="Q41" s="124">
        <f t="shared" si="6"/>
        <v>17.108124643328132</v>
      </c>
      <c r="R41" s="124">
        <f t="shared" si="19"/>
        <v>82.59513126033201</v>
      </c>
      <c r="S41" s="124">
        <f t="shared" si="20"/>
        <v>11.012684168044268</v>
      </c>
      <c r="U41" s="203"/>
      <c r="V41" s="203"/>
      <c r="W41" s="203"/>
      <c r="X41" s="204"/>
      <c r="Y41" s="69"/>
      <c r="Z41" s="69"/>
      <c r="AA41" s="319" t="str">
        <f t="shared" si="21"/>
        <v>A2</v>
      </c>
      <c r="AB41" s="69">
        <f t="shared" si="7"/>
        <v>-2.6252332484055003</v>
      </c>
      <c r="AC41" s="320">
        <f t="shared" si="8"/>
        <v>0</v>
      </c>
      <c r="AD41" s="69"/>
      <c r="AE41" s="244"/>
      <c r="AF41" s="239"/>
      <c r="AG41" s="239"/>
      <c r="AH41" s="239"/>
      <c r="AI41" s="244"/>
      <c r="AJ41" s="244"/>
      <c r="AK41" s="244"/>
      <c r="AL41" s="244"/>
      <c r="AM41" s="244"/>
      <c r="AN41" s="244"/>
      <c r="AO41" s="321" t="str">
        <f t="shared" si="22"/>
        <v>A2</v>
      </c>
      <c r="AP41" s="73">
        <f t="shared" si="23"/>
        <v>10.5</v>
      </c>
      <c r="AQ41" s="322">
        <f t="shared" si="1"/>
        <v>17.654382715119944</v>
      </c>
      <c r="AR41" s="323">
        <f t="shared" si="2"/>
        <v>15.029149466714443</v>
      </c>
      <c r="AS41" s="235"/>
      <c r="AT41" s="239"/>
      <c r="AU41" s="239"/>
      <c r="AV41" s="239"/>
      <c r="AW41" s="239"/>
      <c r="AX41" s="239"/>
      <c r="AY41" s="239"/>
      <c r="AZ41" s="239"/>
      <c r="BA41" s="239"/>
      <c r="BB41" s="319" t="str">
        <f t="shared" si="24"/>
        <v>A2</v>
      </c>
      <c r="BC41" s="69">
        <f t="shared" si="9"/>
        <v>135</v>
      </c>
      <c r="BD41" s="320">
        <f t="shared" si="25"/>
        <v>83.21844983361565</v>
      </c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CA41" s="162">
        <f t="shared" si="10"/>
        <v>1</v>
      </c>
      <c r="CB41" s="162">
        <f t="shared" si="34"/>
        <v>0</v>
      </c>
      <c r="CC41" s="162">
        <f t="shared" si="34"/>
        <v>0</v>
      </c>
      <c r="CD41" s="162">
        <f t="shared" si="34"/>
        <v>0</v>
      </c>
      <c r="CE41" s="162">
        <f t="shared" si="34"/>
        <v>0</v>
      </c>
      <c r="CF41" s="162">
        <f t="shared" si="34"/>
        <v>1</v>
      </c>
      <c r="CG41" s="162">
        <f t="shared" si="34"/>
        <v>0</v>
      </c>
      <c r="CH41" s="162">
        <f t="shared" si="34"/>
        <v>1</v>
      </c>
      <c r="CI41" s="162">
        <f t="shared" si="34"/>
        <v>0</v>
      </c>
      <c r="CJ41" s="162">
        <f t="shared" si="34"/>
        <v>0</v>
      </c>
      <c r="CK41" s="162">
        <f t="shared" si="34"/>
        <v>1</v>
      </c>
      <c r="CL41" s="162">
        <f t="shared" si="34"/>
        <v>0</v>
      </c>
      <c r="CM41" s="162">
        <f t="shared" si="27"/>
        <v>0</v>
      </c>
      <c r="CN41" s="162">
        <f t="shared" si="12"/>
        <v>0</v>
      </c>
      <c r="CO41" s="162">
        <f t="shared" si="28"/>
        <v>1</v>
      </c>
      <c r="CP41" s="163">
        <f t="shared" si="29"/>
        <v>83.21844983361565</v>
      </c>
      <c r="CQ41" s="164"/>
      <c r="CR41" s="164"/>
      <c r="CS41" s="164"/>
      <c r="CT41" s="164"/>
      <c r="CU41" s="164"/>
      <c r="CV41" s="164"/>
      <c r="CW41" s="165">
        <f t="shared" si="30"/>
        <v>0</v>
      </c>
      <c r="CX41" s="165">
        <f t="shared" si="31"/>
        <v>254.08951737445048</v>
      </c>
      <c r="CY41" s="162">
        <f t="shared" si="32"/>
        <v>1</v>
      </c>
      <c r="CZ41" s="164"/>
    </row>
    <row r="42" spans="1:104" ht="12.75">
      <c r="A42" s="239"/>
      <c r="B42" s="166" t="s">
        <v>103</v>
      </c>
      <c r="C42" s="114">
        <v>11</v>
      </c>
      <c r="D42" s="233">
        <f t="shared" si="13"/>
        <v>226</v>
      </c>
      <c r="E42" s="157">
        <v>19.5</v>
      </c>
      <c r="F42" s="157">
        <v>19.2</v>
      </c>
      <c r="G42" s="464">
        <f t="shared" si="3"/>
        <v>11.194550856494226</v>
      </c>
      <c r="H42" s="195">
        <f t="shared" si="4"/>
        <v>22.399051624306814</v>
      </c>
      <c r="I42" s="71">
        <f t="shared" si="33"/>
        <v>-3.199051624306815</v>
      </c>
      <c r="J42" s="71">
        <f t="shared" si="14"/>
        <v>-68.51282144653909</v>
      </c>
      <c r="K42" s="73">
        <f t="shared" si="15"/>
        <v>81.26963043265414</v>
      </c>
      <c r="L42" s="73">
        <f t="shared" si="16"/>
        <v>-1.9488194009615114</v>
      </c>
      <c r="M42" s="71">
        <f t="shared" si="17"/>
        <v>21.14881940096151</v>
      </c>
      <c r="N42" s="71">
        <f t="shared" si="5"/>
        <v>1.2502322233453036</v>
      </c>
      <c r="O42" s="167">
        <f t="shared" si="18"/>
        <v>0</v>
      </c>
      <c r="P42" s="112"/>
      <c r="Q42" s="124">
        <f t="shared" si="6"/>
        <v>14.108084282624434</v>
      </c>
      <c r="R42" s="124">
        <f t="shared" si="19"/>
        <v>83.9591314237067</v>
      </c>
      <c r="S42" s="124">
        <f t="shared" si="20"/>
        <v>11.194550856494226</v>
      </c>
      <c r="U42" s="203"/>
      <c r="V42" s="203"/>
      <c r="W42" s="203"/>
      <c r="X42" s="204"/>
      <c r="Y42" s="69"/>
      <c r="Z42" s="69"/>
      <c r="AA42" s="319" t="str">
        <f t="shared" si="21"/>
        <v>A3</v>
      </c>
      <c r="AB42" s="69">
        <f t="shared" si="7"/>
        <v>-1.2502322233453036</v>
      </c>
      <c r="AC42" s="320">
        <f t="shared" si="8"/>
        <v>0</v>
      </c>
      <c r="AD42" s="69"/>
      <c r="AE42" s="244"/>
      <c r="AF42" s="239"/>
      <c r="AG42" s="239"/>
      <c r="AH42" s="239"/>
      <c r="AI42" s="244"/>
      <c r="AJ42" s="244"/>
      <c r="AK42" s="244"/>
      <c r="AL42" s="244"/>
      <c r="AM42" s="244"/>
      <c r="AN42" s="244"/>
      <c r="AO42" s="321" t="str">
        <f t="shared" si="22"/>
        <v>A3</v>
      </c>
      <c r="AP42" s="73">
        <f t="shared" si="23"/>
        <v>19.2</v>
      </c>
      <c r="AQ42" s="322">
        <f t="shared" si="1"/>
        <v>22.399051624306814</v>
      </c>
      <c r="AR42" s="323">
        <f t="shared" si="2"/>
        <v>21.14881940096151</v>
      </c>
      <c r="AS42" s="235"/>
      <c r="AT42" s="239"/>
      <c r="AU42" s="239"/>
      <c r="AV42" s="239"/>
      <c r="AW42" s="239"/>
      <c r="AX42" s="239"/>
      <c r="AY42" s="239"/>
      <c r="AZ42" s="239"/>
      <c r="BA42" s="239"/>
      <c r="BB42" s="319" t="str">
        <f t="shared" si="24"/>
        <v>A3</v>
      </c>
      <c r="BC42" s="69">
        <f t="shared" si="9"/>
        <v>135</v>
      </c>
      <c r="BD42" s="320">
        <f t="shared" si="25"/>
        <v>81.26963043265414</v>
      </c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CA42" s="162">
        <f t="shared" si="10"/>
        <v>1</v>
      </c>
      <c r="CB42" s="162">
        <f t="shared" si="34"/>
        <v>0</v>
      </c>
      <c r="CC42" s="162">
        <f t="shared" si="34"/>
        <v>0</v>
      </c>
      <c r="CD42" s="162">
        <f t="shared" si="34"/>
        <v>0</v>
      </c>
      <c r="CE42" s="162">
        <f t="shared" si="34"/>
        <v>0</v>
      </c>
      <c r="CF42" s="162">
        <f t="shared" si="34"/>
        <v>0</v>
      </c>
      <c r="CG42" s="162">
        <f t="shared" si="34"/>
        <v>1</v>
      </c>
      <c r="CH42" s="162">
        <f t="shared" si="34"/>
        <v>0</v>
      </c>
      <c r="CI42" s="162">
        <f t="shared" si="34"/>
        <v>1</v>
      </c>
      <c r="CJ42" s="162">
        <f t="shared" si="34"/>
        <v>0</v>
      </c>
      <c r="CK42" s="162">
        <f t="shared" si="34"/>
        <v>0</v>
      </c>
      <c r="CL42" s="162">
        <f t="shared" si="34"/>
        <v>1</v>
      </c>
      <c r="CM42" s="162">
        <f t="shared" si="27"/>
        <v>0</v>
      </c>
      <c r="CN42" s="162">
        <f t="shared" si="12"/>
        <v>0</v>
      </c>
      <c r="CO42" s="162">
        <f t="shared" si="28"/>
        <v>1</v>
      </c>
      <c r="CP42" s="163">
        <f t="shared" si="29"/>
        <v>81.26963043265414</v>
      </c>
      <c r="CQ42" s="164"/>
      <c r="CR42" s="164"/>
      <c r="CS42" s="164"/>
      <c r="CT42" s="164"/>
      <c r="CU42" s="164"/>
      <c r="CV42" s="164"/>
      <c r="CW42" s="165">
        <f t="shared" si="30"/>
        <v>0</v>
      </c>
      <c r="CX42" s="165">
        <f t="shared" si="31"/>
        <v>254.08951737445048</v>
      </c>
      <c r="CY42" s="162">
        <f t="shared" si="32"/>
        <v>1</v>
      </c>
      <c r="CZ42" s="164"/>
    </row>
    <row r="43" spans="1:104" ht="12.75">
      <c r="A43" s="239"/>
      <c r="B43" s="166" t="s">
        <v>104</v>
      </c>
      <c r="C43" s="114">
        <v>10</v>
      </c>
      <c r="D43" s="233">
        <f t="shared" si="13"/>
        <v>237</v>
      </c>
      <c r="E43" s="157">
        <v>20</v>
      </c>
      <c r="F43" s="157">
        <v>15</v>
      </c>
      <c r="G43" s="464">
        <f t="shared" si="3"/>
        <v>11.416375781718914</v>
      </c>
      <c r="H43" s="195">
        <f t="shared" si="4"/>
        <v>22.06721110996812</v>
      </c>
      <c r="I43" s="71">
        <f t="shared" si="33"/>
        <v>-7.06721110996812</v>
      </c>
      <c r="J43" s="71">
        <f t="shared" si="14"/>
        <v>-75.5800325565072</v>
      </c>
      <c r="K43" s="73">
        <f t="shared" si="15"/>
        <v>77.12463004781942</v>
      </c>
      <c r="L43" s="73">
        <f t="shared" si="16"/>
        <v>-4.1450003848347166</v>
      </c>
      <c r="M43" s="71">
        <f t="shared" si="17"/>
        <v>19.145000384834717</v>
      </c>
      <c r="N43" s="71">
        <f t="shared" si="5"/>
        <v>2.9222107251334037</v>
      </c>
      <c r="O43" s="167">
        <f t="shared" si="18"/>
        <v>0</v>
      </c>
      <c r="P43" s="112"/>
      <c r="Q43" s="124">
        <f t="shared" si="6"/>
        <v>10.330165493019107</v>
      </c>
      <c r="R43" s="124">
        <f t="shared" si="19"/>
        <v>85.62281836289185</v>
      </c>
      <c r="S43" s="124">
        <f t="shared" si="20"/>
        <v>11.416375781718914</v>
      </c>
      <c r="U43" s="203"/>
      <c r="V43" s="203"/>
      <c r="W43" s="203"/>
      <c r="X43" s="204"/>
      <c r="Y43" s="69"/>
      <c r="Z43" s="69"/>
      <c r="AA43" s="319" t="str">
        <f t="shared" si="21"/>
        <v>S1</v>
      </c>
      <c r="AB43" s="69">
        <f t="shared" si="7"/>
        <v>-2.9222107251334037</v>
      </c>
      <c r="AC43" s="320">
        <f t="shared" si="8"/>
        <v>0</v>
      </c>
      <c r="AD43" s="69"/>
      <c r="AE43" s="244"/>
      <c r="AF43" s="239"/>
      <c r="AG43" s="239"/>
      <c r="AH43" s="239"/>
      <c r="AI43" s="244"/>
      <c r="AJ43" s="244"/>
      <c r="AK43" s="244"/>
      <c r="AL43" s="244"/>
      <c r="AM43" s="244"/>
      <c r="AN43" s="244"/>
      <c r="AO43" s="321" t="str">
        <f t="shared" si="22"/>
        <v>S1</v>
      </c>
      <c r="AP43" s="73">
        <f t="shared" si="23"/>
        <v>15</v>
      </c>
      <c r="AQ43" s="322">
        <f t="shared" si="1"/>
        <v>22.06721110996812</v>
      </c>
      <c r="AR43" s="323">
        <f t="shared" si="2"/>
        <v>19.145000384834717</v>
      </c>
      <c r="AS43" s="235"/>
      <c r="AT43" s="239"/>
      <c r="AU43" s="239"/>
      <c r="AV43" s="239"/>
      <c r="AW43" s="239"/>
      <c r="AX43" s="239"/>
      <c r="AY43" s="239"/>
      <c r="AZ43" s="239"/>
      <c r="BA43" s="239"/>
      <c r="BB43" s="319" t="str">
        <f t="shared" si="24"/>
        <v>S1</v>
      </c>
      <c r="BC43" s="69">
        <f t="shared" si="9"/>
        <v>135</v>
      </c>
      <c r="BD43" s="320">
        <f t="shared" si="25"/>
        <v>77.12463004781942</v>
      </c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CA43" s="162">
        <f t="shared" si="10"/>
        <v>1</v>
      </c>
      <c r="CB43" s="162">
        <f t="shared" si="34"/>
        <v>0</v>
      </c>
      <c r="CC43" s="162">
        <f t="shared" si="34"/>
        <v>0</v>
      </c>
      <c r="CD43" s="162">
        <f t="shared" si="34"/>
        <v>0</v>
      </c>
      <c r="CE43" s="162">
        <f t="shared" si="34"/>
        <v>0</v>
      </c>
      <c r="CF43" s="162">
        <f t="shared" si="34"/>
        <v>0</v>
      </c>
      <c r="CG43" s="162">
        <f t="shared" si="34"/>
        <v>0</v>
      </c>
      <c r="CH43" s="162">
        <f t="shared" si="34"/>
        <v>1</v>
      </c>
      <c r="CI43" s="162">
        <f t="shared" si="34"/>
        <v>0</v>
      </c>
      <c r="CJ43" s="162">
        <f t="shared" si="34"/>
        <v>1</v>
      </c>
      <c r="CK43" s="162">
        <f t="shared" si="34"/>
        <v>0</v>
      </c>
      <c r="CL43" s="162">
        <f t="shared" si="34"/>
        <v>0</v>
      </c>
      <c r="CM43" s="162">
        <f t="shared" si="27"/>
        <v>0</v>
      </c>
      <c r="CN43" s="162">
        <f t="shared" si="12"/>
        <v>0</v>
      </c>
      <c r="CO43" s="162">
        <f t="shared" si="28"/>
        <v>1</v>
      </c>
      <c r="CP43" s="163">
        <f t="shared" si="29"/>
        <v>77.12463004781942</v>
      </c>
      <c r="CQ43" s="164"/>
      <c r="CR43" s="164"/>
      <c r="CS43" s="164"/>
      <c r="CT43" s="164"/>
      <c r="CU43" s="164"/>
      <c r="CV43" s="164"/>
      <c r="CW43" s="165">
        <f t="shared" si="30"/>
        <v>0</v>
      </c>
      <c r="CX43" s="165">
        <f t="shared" si="31"/>
        <v>254.08951737445048</v>
      </c>
      <c r="CY43" s="162">
        <f t="shared" si="32"/>
        <v>1</v>
      </c>
      <c r="CZ43" s="164"/>
    </row>
    <row r="44" spans="1:104" ht="12.75">
      <c r="A44" s="239"/>
      <c r="B44" s="166" t="s">
        <v>105</v>
      </c>
      <c r="C44" s="114">
        <v>10</v>
      </c>
      <c r="D44" s="233">
        <f t="shared" si="13"/>
        <v>247</v>
      </c>
      <c r="E44" s="157">
        <v>20.3</v>
      </c>
      <c r="F44" s="157">
        <v>25</v>
      </c>
      <c r="G44" s="464">
        <f t="shared" si="3"/>
        <v>11.631363000974972</v>
      </c>
      <c r="H44" s="195">
        <f t="shared" si="4"/>
        <v>23.30066443113002</v>
      </c>
      <c r="I44" s="71">
        <f t="shared" si="33"/>
        <v>1.69933556886998</v>
      </c>
      <c r="J44" s="71">
        <f t="shared" si="14"/>
        <v>-72.63778890896003</v>
      </c>
      <c r="K44" s="73">
        <f t="shared" si="15"/>
        <v>78.8239656166894</v>
      </c>
      <c r="L44" s="73">
        <f t="shared" si="16"/>
        <v>1.6993355688699836</v>
      </c>
      <c r="M44" s="71">
        <f t="shared" si="17"/>
        <v>23.30066443113002</v>
      </c>
      <c r="N44" s="71">
        <f t="shared" si="5"/>
        <v>0</v>
      </c>
      <c r="O44" s="167">
        <f t="shared" si="18"/>
        <v>0</v>
      </c>
      <c r="P44" s="112"/>
      <c r="Q44" s="124">
        <f t="shared" si="6"/>
        <v>6.571409333421633</v>
      </c>
      <c r="R44" s="124">
        <f t="shared" si="19"/>
        <v>87.23522250731229</v>
      </c>
      <c r="S44" s="124">
        <f t="shared" si="20"/>
        <v>11.631363000974972</v>
      </c>
      <c r="U44" s="203"/>
      <c r="V44" s="203"/>
      <c r="W44" s="203"/>
      <c r="X44" s="204"/>
      <c r="Y44" s="69"/>
      <c r="Z44" s="69"/>
      <c r="AA44" s="319" t="str">
        <f t="shared" si="21"/>
        <v>S2</v>
      </c>
      <c r="AB44" s="69">
        <f t="shared" si="7"/>
        <v>0</v>
      </c>
      <c r="AC44" s="320">
        <f t="shared" si="8"/>
        <v>0</v>
      </c>
      <c r="AD44" s="69"/>
      <c r="AE44" s="244"/>
      <c r="AF44" s="239"/>
      <c r="AG44" s="239"/>
      <c r="AH44" s="239"/>
      <c r="AI44" s="244"/>
      <c r="AJ44" s="244"/>
      <c r="AK44" s="244"/>
      <c r="AL44" s="244"/>
      <c r="AM44" s="244"/>
      <c r="AN44" s="244"/>
      <c r="AO44" s="321" t="str">
        <f t="shared" si="22"/>
        <v>S2</v>
      </c>
      <c r="AP44" s="73">
        <f t="shared" si="23"/>
        <v>25</v>
      </c>
      <c r="AQ44" s="322">
        <f t="shared" si="1"/>
        <v>23.30066443113002</v>
      </c>
      <c r="AR44" s="323">
        <f t="shared" si="2"/>
        <v>23.30066443113002</v>
      </c>
      <c r="AS44" s="235"/>
      <c r="AT44" s="239"/>
      <c r="AU44" s="239"/>
      <c r="AV44" s="239"/>
      <c r="AW44" s="239"/>
      <c r="AX44" s="239"/>
      <c r="AY44" s="239"/>
      <c r="AZ44" s="239"/>
      <c r="BA44" s="239"/>
      <c r="BB44" s="319" t="str">
        <f t="shared" si="24"/>
        <v>S2</v>
      </c>
      <c r="BC44" s="69">
        <f t="shared" si="9"/>
        <v>135</v>
      </c>
      <c r="BD44" s="320">
        <f t="shared" si="25"/>
        <v>78.8239656166894</v>
      </c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CA44" s="162">
        <f t="shared" si="10"/>
        <v>0</v>
      </c>
      <c r="CB44" s="162">
        <f t="shared" si="34"/>
        <v>1</v>
      </c>
      <c r="CC44" s="162">
        <f t="shared" si="34"/>
        <v>0</v>
      </c>
      <c r="CD44" s="162">
        <f t="shared" si="34"/>
        <v>0</v>
      </c>
      <c r="CE44" s="162">
        <f t="shared" si="34"/>
        <v>0</v>
      </c>
      <c r="CF44" s="162">
        <f t="shared" si="34"/>
        <v>0</v>
      </c>
      <c r="CG44" s="162">
        <f t="shared" si="34"/>
        <v>0</v>
      </c>
      <c r="CH44" s="162">
        <f t="shared" si="34"/>
        <v>0</v>
      </c>
      <c r="CI44" s="162">
        <f t="shared" si="34"/>
        <v>1</v>
      </c>
      <c r="CJ44" s="162">
        <f t="shared" si="34"/>
        <v>0</v>
      </c>
      <c r="CK44" s="162">
        <f t="shared" si="34"/>
        <v>1</v>
      </c>
      <c r="CL44" s="162">
        <f t="shared" si="34"/>
        <v>0</v>
      </c>
      <c r="CM44" s="162">
        <f t="shared" si="27"/>
        <v>0</v>
      </c>
      <c r="CN44" s="162">
        <f t="shared" si="12"/>
        <v>0</v>
      </c>
      <c r="CO44" s="162">
        <f t="shared" si="28"/>
        <v>1</v>
      </c>
      <c r="CP44" s="163">
        <f t="shared" si="29"/>
        <v>78.8239656166894</v>
      </c>
      <c r="CQ44" s="164"/>
      <c r="CR44" s="164"/>
      <c r="CS44" s="164"/>
      <c r="CT44" s="164"/>
      <c r="CU44" s="164"/>
      <c r="CV44" s="164"/>
      <c r="CW44" s="165">
        <f t="shared" si="30"/>
        <v>1.69933556886998</v>
      </c>
      <c r="CX44" s="165">
        <f t="shared" si="31"/>
        <v>255.78885294332045</v>
      </c>
      <c r="CY44" s="162">
        <f t="shared" si="32"/>
        <v>1</v>
      </c>
      <c r="CZ44" s="164"/>
    </row>
    <row r="45" spans="1:104" ht="12.75">
      <c r="A45" s="239"/>
      <c r="B45" s="166" t="s">
        <v>106</v>
      </c>
      <c r="C45" s="114">
        <v>10</v>
      </c>
      <c r="D45" s="233">
        <f t="shared" si="13"/>
        <v>257</v>
      </c>
      <c r="E45" s="157">
        <v>21</v>
      </c>
      <c r="F45" s="157">
        <v>21.6</v>
      </c>
      <c r="G45" s="464">
        <f t="shared" si="3"/>
        <v>11.853705728873697</v>
      </c>
      <c r="H45" s="195">
        <f t="shared" si="4"/>
        <v>25.75892019142897</v>
      </c>
      <c r="I45" s="71">
        <f t="shared" si="33"/>
        <v>-4.158920191428969</v>
      </c>
      <c r="J45" s="71">
        <f t="shared" si="14"/>
        <v>-76.796709100389</v>
      </c>
      <c r="K45" s="73">
        <f t="shared" si="15"/>
        <v>76.43267336400139</v>
      </c>
      <c r="L45" s="73">
        <f t="shared" si="16"/>
        <v>-2.391292252688018</v>
      </c>
      <c r="M45" s="71">
        <f t="shared" si="17"/>
        <v>23.99129225268802</v>
      </c>
      <c r="N45" s="71">
        <f t="shared" si="5"/>
        <v>1.7676279387409508</v>
      </c>
      <c r="O45" s="167">
        <f t="shared" si="18"/>
        <v>0</v>
      </c>
      <c r="P45" s="112"/>
      <c r="Q45" s="124">
        <f t="shared" si="6"/>
        <v>2.61840371700374</v>
      </c>
      <c r="R45" s="124">
        <f t="shared" si="19"/>
        <v>88.90279296655272</v>
      </c>
      <c r="S45" s="124">
        <f t="shared" si="20"/>
        <v>11.853705728873697</v>
      </c>
      <c r="U45" s="203"/>
      <c r="V45" s="203"/>
      <c r="W45" s="203"/>
      <c r="X45" s="204"/>
      <c r="Y45" s="69"/>
      <c r="Z45" s="69"/>
      <c r="AA45" s="319" t="str">
        <f t="shared" si="21"/>
        <v>S3</v>
      </c>
      <c r="AB45" s="69">
        <f t="shared" si="7"/>
        <v>-1.7676279387409508</v>
      </c>
      <c r="AC45" s="320">
        <f t="shared" si="8"/>
        <v>0</v>
      </c>
      <c r="AD45" s="69"/>
      <c r="AE45" s="244"/>
      <c r="AF45" s="239"/>
      <c r="AG45" s="239"/>
      <c r="AH45" s="239"/>
      <c r="AI45" s="244"/>
      <c r="AJ45" s="244"/>
      <c r="AK45" s="244"/>
      <c r="AL45" s="244"/>
      <c r="AM45" s="244"/>
      <c r="AN45" s="244"/>
      <c r="AO45" s="321" t="str">
        <f t="shared" si="22"/>
        <v>S3</v>
      </c>
      <c r="AP45" s="73">
        <f t="shared" si="23"/>
        <v>21.6</v>
      </c>
      <c r="AQ45" s="322">
        <f t="shared" si="1"/>
        <v>25.75892019142897</v>
      </c>
      <c r="AR45" s="323">
        <f t="shared" si="2"/>
        <v>23.99129225268802</v>
      </c>
      <c r="AS45" s="235"/>
      <c r="AT45" s="239"/>
      <c r="AU45" s="239"/>
      <c r="AV45" s="239"/>
      <c r="AW45" s="239"/>
      <c r="AX45" s="239"/>
      <c r="AY45" s="239"/>
      <c r="AZ45" s="239"/>
      <c r="BA45" s="239"/>
      <c r="BB45" s="319" t="str">
        <f t="shared" si="24"/>
        <v>S3</v>
      </c>
      <c r="BC45" s="69">
        <f t="shared" si="9"/>
        <v>135</v>
      </c>
      <c r="BD45" s="320">
        <f t="shared" si="25"/>
        <v>76.43267336400139</v>
      </c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CA45" s="162">
        <f t="shared" si="10"/>
        <v>1</v>
      </c>
      <c r="CB45" s="162">
        <f t="shared" si="34"/>
        <v>0</v>
      </c>
      <c r="CC45" s="162">
        <f t="shared" si="34"/>
        <v>1</v>
      </c>
      <c r="CD45" s="162">
        <f t="shared" si="34"/>
        <v>0</v>
      </c>
      <c r="CE45" s="162">
        <f t="shared" si="34"/>
        <v>0</v>
      </c>
      <c r="CF45" s="162">
        <f t="shared" si="34"/>
        <v>0</v>
      </c>
      <c r="CG45" s="162">
        <f t="shared" si="34"/>
        <v>0</v>
      </c>
      <c r="CH45" s="162">
        <f t="shared" si="34"/>
        <v>0</v>
      </c>
      <c r="CI45" s="162">
        <f t="shared" si="34"/>
        <v>0</v>
      </c>
      <c r="CJ45" s="162">
        <f t="shared" si="34"/>
        <v>1</v>
      </c>
      <c r="CK45" s="162">
        <f t="shared" si="34"/>
        <v>0</v>
      </c>
      <c r="CL45" s="162">
        <f t="shared" si="34"/>
        <v>1</v>
      </c>
      <c r="CM45" s="162">
        <f t="shared" si="27"/>
        <v>0</v>
      </c>
      <c r="CN45" s="162">
        <f t="shared" si="12"/>
        <v>0</v>
      </c>
      <c r="CO45" s="162">
        <f t="shared" si="28"/>
        <v>1</v>
      </c>
      <c r="CP45" s="163">
        <f t="shared" si="29"/>
        <v>76.43267336400139</v>
      </c>
      <c r="CQ45" s="164"/>
      <c r="CR45" s="164"/>
      <c r="CS45" s="164"/>
      <c r="CT45" s="164"/>
      <c r="CU45" s="164"/>
      <c r="CV45" s="164"/>
      <c r="CW45" s="165">
        <f t="shared" si="30"/>
        <v>0</v>
      </c>
      <c r="CX45" s="165">
        <f t="shared" si="31"/>
        <v>255.78885294332045</v>
      </c>
      <c r="CY45" s="162">
        <f t="shared" si="32"/>
        <v>1</v>
      </c>
      <c r="CZ45" s="164"/>
    </row>
    <row r="46" spans="1:104" ht="12.75">
      <c r="A46" s="239"/>
      <c r="B46" s="166" t="s">
        <v>107</v>
      </c>
      <c r="C46" s="114">
        <v>10</v>
      </c>
      <c r="D46" s="233">
        <f t="shared" si="13"/>
        <v>267</v>
      </c>
      <c r="E46" s="157">
        <v>21.5</v>
      </c>
      <c r="F46" s="157">
        <v>29.9</v>
      </c>
      <c r="G46" s="464">
        <f t="shared" si="3"/>
        <v>12.078848318984278</v>
      </c>
      <c r="H46" s="195">
        <f t="shared" si="4"/>
        <v>27.77314336664353</v>
      </c>
      <c r="I46" s="71">
        <f t="shared" si="33"/>
        <v>2.126856633356468</v>
      </c>
      <c r="J46" s="71">
        <f t="shared" si="14"/>
        <v>-73.09144311283872</v>
      </c>
      <c r="K46" s="73">
        <f t="shared" si="15"/>
        <v>78.55952999735786</v>
      </c>
      <c r="L46" s="73">
        <f t="shared" si="16"/>
        <v>2.126856633356468</v>
      </c>
      <c r="M46" s="71">
        <f t="shared" si="17"/>
        <v>27.77314336664353</v>
      </c>
      <c r="N46" s="71">
        <f t="shared" si="5"/>
        <v>0</v>
      </c>
      <c r="O46" s="167">
        <f t="shared" si="18"/>
        <v>0</v>
      </c>
      <c r="P46" s="112"/>
      <c r="Q46" s="124">
        <f t="shared" si="6"/>
        <v>-1.4120013542278405</v>
      </c>
      <c r="R46" s="124">
        <f t="shared" si="19"/>
        <v>90.59136239238208</v>
      </c>
      <c r="S46" s="124">
        <f t="shared" si="20"/>
        <v>12.078848318984278</v>
      </c>
      <c r="U46" s="203"/>
      <c r="V46" s="203"/>
      <c r="W46" s="203"/>
      <c r="X46" s="204"/>
      <c r="Y46" s="69"/>
      <c r="Z46" s="69"/>
      <c r="AA46" s="319" t="str">
        <f t="shared" si="21"/>
        <v>O1</v>
      </c>
      <c r="AB46" s="69">
        <f t="shared" si="7"/>
        <v>0</v>
      </c>
      <c r="AC46" s="320">
        <f t="shared" si="8"/>
        <v>0</v>
      </c>
      <c r="AD46" s="69"/>
      <c r="AE46" s="244"/>
      <c r="AF46" s="239"/>
      <c r="AG46" s="239"/>
      <c r="AH46" s="239"/>
      <c r="AI46" s="244"/>
      <c r="AJ46" s="244"/>
      <c r="AK46" s="244"/>
      <c r="AL46" s="244"/>
      <c r="AM46" s="244"/>
      <c r="AN46" s="244"/>
      <c r="AO46" s="321" t="str">
        <f t="shared" si="22"/>
        <v>O1</v>
      </c>
      <c r="AP46" s="73">
        <f t="shared" si="23"/>
        <v>29.9</v>
      </c>
      <c r="AQ46" s="322">
        <f t="shared" si="1"/>
        <v>27.77314336664353</v>
      </c>
      <c r="AR46" s="323">
        <f t="shared" si="2"/>
        <v>27.77314336664353</v>
      </c>
      <c r="AS46" s="235"/>
      <c r="AT46" s="239"/>
      <c r="AU46" s="239"/>
      <c r="AV46" s="239"/>
      <c r="AW46" s="239"/>
      <c r="AX46" s="239"/>
      <c r="AY46" s="239"/>
      <c r="AZ46" s="239"/>
      <c r="BA46" s="239"/>
      <c r="BB46" s="319" t="str">
        <f t="shared" si="24"/>
        <v>O1</v>
      </c>
      <c r="BC46" s="69">
        <f t="shared" si="9"/>
        <v>135</v>
      </c>
      <c r="BD46" s="320">
        <f t="shared" si="25"/>
        <v>78.55952999735786</v>
      </c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CA46" s="162">
        <f t="shared" si="10"/>
        <v>0</v>
      </c>
      <c r="CB46" s="162">
        <f t="shared" si="34"/>
        <v>1</v>
      </c>
      <c r="CC46" s="162">
        <f t="shared" si="34"/>
        <v>0</v>
      </c>
      <c r="CD46" s="162">
        <f t="shared" si="34"/>
        <v>1</v>
      </c>
      <c r="CE46" s="162">
        <f t="shared" si="34"/>
        <v>0</v>
      </c>
      <c r="CF46" s="162">
        <f t="shared" si="34"/>
        <v>0</v>
      </c>
      <c r="CG46" s="162">
        <f t="shared" si="34"/>
        <v>0</v>
      </c>
      <c r="CH46" s="162">
        <f t="shared" si="34"/>
        <v>0</v>
      </c>
      <c r="CI46" s="162">
        <f t="shared" si="34"/>
        <v>0</v>
      </c>
      <c r="CJ46" s="162">
        <f t="shared" si="34"/>
        <v>0</v>
      </c>
      <c r="CK46" s="162">
        <f t="shared" si="34"/>
        <v>1</v>
      </c>
      <c r="CL46" s="162">
        <f t="shared" si="34"/>
        <v>0</v>
      </c>
      <c r="CM46" s="162">
        <f t="shared" si="27"/>
        <v>0</v>
      </c>
      <c r="CN46" s="162">
        <f t="shared" si="12"/>
        <v>0</v>
      </c>
      <c r="CO46" s="162">
        <f t="shared" si="28"/>
        <v>1</v>
      </c>
      <c r="CP46" s="163">
        <f t="shared" si="29"/>
        <v>78.55952999735786</v>
      </c>
      <c r="CQ46" s="164"/>
      <c r="CR46" s="164"/>
      <c r="CS46" s="164"/>
      <c r="CT46" s="164"/>
      <c r="CU46" s="164"/>
      <c r="CV46" s="164"/>
      <c r="CW46" s="165">
        <f t="shared" si="30"/>
        <v>2.126856633356468</v>
      </c>
      <c r="CX46" s="165">
        <f t="shared" si="31"/>
        <v>257.91570957667693</v>
      </c>
      <c r="CY46" s="162">
        <f t="shared" si="32"/>
        <v>1</v>
      </c>
      <c r="CZ46" s="164"/>
    </row>
    <row r="47" spans="1:104" ht="12.75">
      <c r="A47" s="239"/>
      <c r="B47" s="166" t="s">
        <v>108</v>
      </c>
      <c r="C47" s="114">
        <v>10</v>
      </c>
      <c r="D47" s="233">
        <f t="shared" si="13"/>
        <v>277</v>
      </c>
      <c r="E47" s="157">
        <v>22</v>
      </c>
      <c r="F47" s="157">
        <v>35.4</v>
      </c>
      <c r="G47" s="464">
        <f t="shared" si="3"/>
        <v>12.302490357553923</v>
      </c>
      <c r="H47" s="195">
        <f t="shared" si="4"/>
        <v>29.891979234820177</v>
      </c>
      <c r="I47" s="71">
        <f t="shared" si="33"/>
        <v>5.508020765179822</v>
      </c>
      <c r="J47" s="71">
        <f t="shared" si="14"/>
        <v>-63.943307148602486</v>
      </c>
      <c r="K47" s="73">
        <f t="shared" si="15"/>
        <v>84.06755076253768</v>
      </c>
      <c r="L47" s="73">
        <f t="shared" si="16"/>
        <v>5.508020765179822</v>
      </c>
      <c r="M47" s="71">
        <f t="shared" si="17"/>
        <v>29.891979234820177</v>
      </c>
      <c r="N47" s="71">
        <f t="shared" si="5"/>
        <v>0</v>
      </c>
      <c r="O47" s="167">
        <f t="shared" si="18"/>
        <v>0</v>
      </c>
      <c r="P47" s="112"/>
      <c r="Q47" s="124">
        <f t="shared" si="6"/>
        <v>-5.40066796690785</v>
      </c>
      <c r="R47" s="124">
        <f t="shared" si="19"/>
        <v>92.26867768165442</v>
      </c>
      <c r="S47" s="124">
        <f t="shared" si="20"/>
        <v>12.302490357553923</v>
      </c>
      <c r="U47" s="203"/>
      <c r="V47" s="203"/>
      <c r="W47" s="203"/>
      <c r="X47" s="204"/>
      <c r="Y47" s="69"/>
      <c r="Z47" s="69"/>
      <c r="AA47" s="319" t="str">
        <f t="shared" si="21"/>
        <v>O2</v>
      </c>
      <c r="AB47" s="69">
        <f t="shared" si="7"/>
        <v>0</v>
      </c>
      <c r="AC47" s="320">
        <f t="shared" si="8"/>
        <v>0</v>
      </c>
      <c r="AD47" s="69"/>
      <c r="AE47" s="244"/>
      <c r="AF47" s="239"/>
      <c r="AG47" s="239"/>
      <c r="AH47" s="239"/>
      <c r="AI47" s="244"/>
      <c r="AJ47" s="244"/>
      <c r="AK47" s="244"/>
      <c r="AL47" s="244"/>
      <c r="AM47" s="244"/>
      <c r="AN47" s="244"/>
      <c r="AO47" s="321" t="str">
        <f t="shared" si="22"/>
        <v>O2</v>
      </c>
      <c r="AP47" s="73">
        <f t="shared" si="23"/>
        <v>35.4</v>
      </c>
      <c r="AQ47" s="322">
        <f t="shared" si="1"/>
        <v>29.891979234820177</v>
      </c>
      <c r="AR47" s="323">
        <f t="shared" si="2"/>
        <v>29.891979234820177</v>
      </c>
      <c r="AS47" s="235"/>
      <c r="AT47" s="239"/>
      <c r="AU47" s="239"/>
      <c r="AV47" s="239"/>
      <c r="AW47" s="239"/>
      <c r="AX47" s="239"/>
      <c r="AY47" s="239"/>
      <c r="AZ47" s="239"/>
      <c r="BA47" s="239"/>
      <c r="BB47" s="319" t="str">
        <f t="shared" si="24"/>
        <v>O2</v>
      </c>
      <c r="BC47" s="69">
        <f t="shared" si="9"/>
        <v>135</v>
      </c>
      <c r="BD47" s="320">
        <f t="shared" si="25"/>
        <v>84.06755076253768</v>
      </c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CA47" s="162">
        <f t="shared" si="10"/>
        <v>0</v>
      </c>
      <c r="CB47" s="162">
        <f t="shared" si="34"/>
        <v>0</v>
      </c>
      <c r="CC47" s="162">
        <f t="shared" si="34"/>
        <v>1</v>
      </c>
      <c r="CD47" s="162">
        <f t="shared" si="34"/>
        <v>0</v>
      </c>
      <c r="CE47" s="162">
        <f t="shared" si="34"/>
        <v>1</v>
      </c>
      <c r="CF47" s="162">
        <f t="shared" si="34"/>
        <v>0</v>
      </c>
      <c r="CG47" s="162">
        <f t="shared" si="34"/>
        <v>0</v>
      </c>
      <c r="CH47" s="162">
        <f t="shared" si="34"/>
        <v>0</v>
      </c>
      <c r="CI47" s="162">
        <f t="shared" si="34"/>
        <v>0</v>
      </c>
      <c r="CJ47" s="162">
        <f t="shared" si="34"/>
        <v>0</v>
      </c>
      <c r="CK47" s="162">
        <f t="shared" si="34"/>
        <v>0</v>
      </c>
      <c r="CL47" s="162">
        <f t="shared" si="34"/>
        <v>1</v>
      </c>
      <c r="CM47" s="162">
        <f t="shared" si="27"/>
        <v>0</v>
      </c>
      <c r="CN47" s="162">
        <f t="shared" si="12"/>
        <v>0</v>
      </c>
      <c r="CO47" s="162">
        <f t="shared" si="28"/>
        <v>1</v>
      </c>
      <c r="CP47" s="163">
        <f t="shared" si="29"/>
        <v>84.06755076253768</v>
      </c>
      <c r="CQ47" s="164"/>
      <c r="CR47" s="164"/>
      <c r="CS47" s="164"/>
      <c r="CT47" s="164"/>
      <c r="CU47" s="164"/>
      <c r="CV47" s="164"/>
      <c r="CW47" s="165">
        <f t="shared" si="30"/>
        <v>7.63487739853629</v>
      </c>
      <c r="CX47" s="165">
        <f t="shared" si="31"/>
        <v>263.42373034185675</v>
      </c>
      <c r="CY47" s="162">
        <f t="shared" si="32"/>
        <v>1</v>
      </c>
      <c r="CZ47" s="164"/>
    </row>
    <row r="48" spans="1:104" ht="12.75">
      <c r="A48" s="239"/>
      <c r="B48" s="166" t="s">
        <v>109</v>
      </c>
      <c r="C48" s="114">
        <v>11</v>
      </c>
      <c r="D48" s="233">
        <f t="shared" si="13"/>
        <v>287</v>
      </c>
      <c r="E48" s="157">
        <v>23</v>
      </c>
      <c r="F48" s="157">
        <v>44.2</v>
      </c>
      <c r="G48" s="464">
        <f t="shared" si="3"/>
        <v>12.520192449344243</v>
      </c>
      <c r="H48" s="195">
        <f t="shared" si="4"/>
        <v>37.2303998677203</v>
      </c>
      <c r="I48" s="71">
        <f t="shared" si="33"/>
        <v>6.969600132279702</v>
      </c>
      <c r="J48" s="71">
        <f t="shared" si="14"/>
        <v>-53.19095899169517</v>
      </c>
      <c r="K48" s="73">
        <f t="shared" si="15"/>
        <v>91.03715089481739</v>
      </c>
      <c r="L48" s="73">
        <f t="shared" si="16"/>
        <v>6.969600132279709</v>
      </c>
      <c r="M48" s="71">
        <f t="shared" si="17"/>
        <v>37.2303998677203</v>
      </c>
      <c r="N48" s="71">
        <f t="shared" si="5"/>
        <v>0</v>
      </c>
      <c r="O48" s="167">
        <f t="shared" si="18"/>
        <v>0</v>
      </c>
      <c r="P48" s="112"/>
      <c r="Q48" s="124">
        <f t="shared" si="6"/>
        <v>-9.229691987594139</v>
      </c>
      <c r="R48" s="124">
        <f t="shared" si="19"/>
        <v>93.90144337008182</v>
      </c>
      <c r="S48" s="124">
        <f t="shared" si="20"/>
        <v>12.520192449344243</v>
      </c>
      <c r="U48" s="203"/>
      <c r="V48" s="203"/>
      <c r="W48" s="203"/>
      <c r="X48" s="204"/>
      <c r="Y48" s="69"/>
      <c r="Z48" s="69"/>
      <c r="AA48" s="319" t="str">
        <f t="shared" si="21"/>
        <v>O3</v>
      </c>
      <c r="AB48" s="69">
        <f t="shared" si="7"/>
        <v>0</v>
      </c>
      <c r="AC48" s="320">
        <f t="shared" si="8"/>
        <v>0</v>
      </c>
      <c r="AD48" s="69"/>
      <c r="AE48" s="244"/>
      <c r="AF48" s="239"/>
      <c r="AG48" s="239"/>
      <c r="AH48" s="239"/>
      <c r="AI48" s="244"/>
      <c r="AJ48" s="244"/>
      <c r="AK48" s="244"/>
      <c r="AL48" s="244"/>
      <c r="AM48" s="244"/>
      <c r="AN48" s="244"/>
      <c r="AO48" s="321" t="str">
        <f t="shared" si="22"/>
        <v>O3</v>
      </c>
      <c r="AP48" s="73">
        <f t="shared" si="23"/>
        <v>44.2</v>
      </c>
      <c r="AQ48" s="322">
        <f t="shared" si="1"/>
        <v>37.2303998677203</v>
      </c>
      <c r="AR48" s="323">
        <f t="shared" si="2"/>
        <v>37.2303998677203</v>
      </c>
      <c r="AS48" s="235"/>
      <c r="AT48" s="239"/>
      <c r="AU48" s="239"/>
      <c r="AV48" s="239"/>
      <c r="AW48" s="239"/>
      <c r="AX48" s="239"/>
      <c r="AY48" s="239"/>
      <c r="AZ48" s="239"/>
      <c r="BA48" s="239"/>
      <c r="BB48" s="319" t="str">
        <f t="shared" si="24"/>
        <v>O3</v>
      </c>
      <c r="BC48" s="69">
        <f t="shared" si="9"/>
        <v>135</v>
      </c>
      <c r="BD48" s="320">
        <f t="shared" si="25"/>
        <v>91.03715089481739</v>
      </c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CA48" s="162">
        <f t="shared" si="10"/>
        <v>0</v>
      </c>
      <c r="CB48" s="162">
        <f t="shared" si="34"/>
        <v>0</v>
      </c>
      <c r="CC48" s="162">
        <f t="shared" si="34"/>
        <v>0</v>
      </c>
      <c r="CD48" s="162">
        <f t="shared" si="34"/>
        <v>1</v>
      </c>
      <c r="CE48" s="162">
        <f t="shared" si="34"/>
        <v>0</v>
      </c>
      <c r="CF48" s="162">
        <f t="shared" si="34"/>
        <v>1</v>
      </c>
      <c r="CG48" s="162">
        <f t="shared" si="34"/>
        <v>0</v>
      </c>
      <c r="CH48" s="162">
        <f t="shared" si="34"/>
        <v>0</v>
      </c>
      <c r="CI48" s="162">
        <f t="shared" si="34"/>
        <v>0</v>
      </c>
      <c r="CJ48" s="162">
        <f t="shared" si="34"/>
        <v>0</v>
      </c>
      <c r="CK48" s="162">
        <f t="shared" si="34"/>
        <v>0</v>
      </c>
      <c r="CL48" s="162">
        <f t="shared" si="34"/>
        <v>0</v>
      </c>
      <c r="CM48" s="162">
        <f t="shared" si="27"/>
        <v>0</v>
      </c>
      <c r="CN48" s="162">
        <f t="shared" si="12"/>
        <v>0</v>
      </c>
      <c r="CO48" s="162">
        <f t="shared" si="28"/>
        <v>1</v>
      </c>
      <c r="CP48" s="163">
        <f t="shared" si="29"/>
        <v>91.03715089481739</v>
      </c>
      <c r="CQ48" s="164"/>
      <c r="CR48" s="164"/>
      <c r="CS48" s="164"/>
      <c r="CT48" s="164"/>
      <c r="CU48" s="164"/>
      <c r="CV48" s="164"/>
      <c r="CW48" s="165">
        <f t="shared" si="30"/>
        <v>14.604477530815991</v>
      </c>
      <c r="CX48" s="165">
        <f t="shared" si="31"/>
        <v>270.39333047413646</v>
      </c>
      <c r="CY48" s="162">
        <f t="shared" si="32"/>
        <v>1</v>
      </c>
      <c r="CZ48" s="164"/>
    </row>
    <row r="49" spans="1:104" ht="12.75">
      <c r="A49" s="239"/>
      <c r="B49" s="166" t="s">
        <v>110</v>
      </c>
      <c r="C49" s="114">
        <v>10</v>
      </c>
      <c r="D49" s="233">
        <f t="shared" si="13"/>
        <v>298</v>
      </c>
      <c r="E49" s="157">
        <v>23</v>
      </c>
      <c r="F49" s="157">
        <v>30</v>
      </c>
      <c r="G49" s="464">
        <f t="shared" si="3"/>
        <v>12.746885139144304</v>
      </c>
      <c r="H49" s="195">
        <f t="shared" si="4"/>
        <v>34.458636080608116</v>
      </c>
      <c r="I49" s="71">
        <f t="shared" si="33"/>
        <v>-4.458636080608116</v>
      </c>
      <c r="J49" s="71">
        <f t="shared" si="14"/>
        <v>-57.649595072303285</v>
      </c>
      <c r="K49" s="73">
        <f t="shared" si="15"/>
        <v>88.07958148459255</v>
      </c>
      <c r="L49" s="73">
        <f t="shared" si="16"/>
        <v>-2.957569410224835</v>
      </c>
      <c r="M49" s="71">
        <f t="shared" si="17"/>
        <v>32.957569410224835</v>
      </c>
      <c r="N49" s="71">
        <f t="shared" si="5"/>
        <v>1.5010666703832811</v>
      </c>
      <c r="O49" s="167">
        <f t="shared" si="18"/>
        <v>0</v>
      </c>
      <c r="P49" s="112"/>
      <c r="Q49" s="124">
        <f t="shared" si="6"/>
        <v>-13.122368203518644</v>
      </c>
      <c r="R49" s="124">
        <f t="shared" si="19"/>
        <v>95.60163854358228</v>
      </c>
      <c r="S49" s="124">
        <f t="shared" si="20"/>
        <v>12.746885139144304</v>
      </c>
      <c r="U49" s="203"/>
      <c r="V49" s="203"/>
      <c r="W49" s="203"/>
      <c r="X49" s="204"/>
      <c r="Y49" s="69"/>
      <c r="Z49" s="69"/>
      <c r="AA49" s="319" t="str">
        <f t="shared" si="21"/>
        <v>N1</v>
      </c>
      <c r="AB49" s="69">
        <f t="shared" si="7"/>
        <v>-1.5010666703832811</v>
      </c>
      <c r="AC49" s="320">
        <f t="shared" si="8"/>
        <v>0</v>
      </c>
      <c r="AD49" s="69"/>
      <c r="AE49" s="244"/>
      <c r="AF49" s="239"/>
      <c r="AG49" s="239"/>
      <c r="AH49" s="239"/>
      <c r="AI49" s="244"/>
      <c r="AJ49" s="244"/>
      <c r="AK49" s="244"/>
      <c r="AL49" s="244"/>
      <c r="AM49" s="244"/>
      <c r="AN49" s="244"/>
      <c r="AO49" s="321" t="str">
        <f t="shared" si="22"/>
        <v>N1</v>
      </c>
      <c r="AP49" s="73">
        <f t="shared" si="23"/>
        <v>30</v>
      </c>
      <c r="AQ49" s="322">
        <f t="shared" si="1"/>
        <v>34.458636080608116</v>
      </c>
      <c r="AR49" s="323">
        <f t="shared" si="2"/>
        <v>32.957569410224835</v>
      </c>
      <c r="AS49" s="235"/>
      <c r="AT49" s="239"/>
      <c r="AU49" s="239"/>
      <c r="AV49" s="239"/>
      <c r="AW49" s="239"/>
      <c r="AX49" s="239"/>
      <c r="AY49" s="239"/>
      <c r="AZ49" s="239"/>
      <c r="BA49" s="239"/>
      <c r="BB49" s="319" t="str">
        <f t="shared" si="24"/>
        <v>N1</v>
      </c>
      <c r="BC49" s="69">
        <f t="shared" si="9"/>
        <v>135</v>
      </c>
      <c r="BD49" s="320">
        <f t="shared" si="25"/>
        <v>88.07958148459255</v>
      </c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CA49" s="162">
        <f t="shared" si="10"/>
        <v>1</v>
      </c>
      <c r="CB49" s="162">
        <f t="shared" si="34"/>
        <v>0</v>
      </c>
      <c r="CC49" s="162">
        <f t="shared" si="34"/>
        <v>0</v>
      </c>
      <c r="CD49" s="162">
        <f t="shared" si="34"/>
        <v>0</v>
      </c>
      <c r="CE49" s="162">
        <f t="shared" si="34"/>
        <v>1</v>
      </c>
      <c r="CF49" s="162">
        <f t="shared" si="34"/>
        <v>0</v>
      </c>
      <c r="CG49" s="162">
        <f t="shared" si="34"/>
        <v>1</v>
      </c>
      <c r="CH49" s="162">
        <f t="shared" si="34"/>
        <v>0</v>
      </c>
      <c r="CI49" s="162">
        <f t="shared" si="34"/>
        <v>0</v>
      </c>
      <c r="CJ49" s="162">
        <f t="shared" si="34"/>
        <v>0</v>
      </c>
      <c r="CK49" s="162">
        <f t="shared" si="34"/>
        <v>0</v>
      </c>
      <c r="CL49" s="162">
        <f t="shared" si="34"/>
        <v>0</v>
      </c>
      <c r="CM49" s="162">
        <f t="shared" si="27"/>
        <v>0</v>
      </c>
      <c r="CN49" s="162">
        <f t="shared" si="12"/>
        <v>0</v>
      </c>
      <c r="CO49" s="162">
        <f t="shared" si="28"/>
        <v>1</v>
      </c>
      <c r="CP49" s="163">
        <f t="shared" si="29"/>
        <v>88.07958148459255</v>
      </c>
      <c r="CQ49" s="164"/>
      <c r="CR49" s="164"/>
      <c r="CS49" s="164"/>
      <c r="CT49" s="164"/>
      <c r="CU49" s="164"/>
      <c r="CV49" s="164"/>
      <c r="CW49" s="165">
        <f t="shared" si="30"/>
        <v>0</v>
      </c>
      <c r="CX49" s="165">
        <f t="shared" si="31"/>
        <v>270.39333047413646</v>
      </c>
      <c r="CY49" s="162">
        <f t="shared" si="32"/>
        <v>1</v>
      </c>
      <c r="CZ49" s="164"/>
    </row>
    <row r="50" spans="1:104" ht="12.75">
      <c r="A50" s="239"/>
      <c r="B50" s="166" t="s">
        <v>111</v>
      </c>
      <c r="C50" s="114">
        <v>10</v>
      </c>
      <c r="D50" s="233">
        <f t="shared" si="13"/>
        <v>308</v>
      </c>
      <c r="E50" s="157">
        <v>22.5</v>
      </c>
      <c r="F50" s="157">
        <v>42.8</v>
      </c>
      <c r="G50" s="464">
        <f t="shared" si="3"/>
        <v>12.93514383687947</v>
      </c>
      <c r="H50" s="195">
        <f t="shared" si="4"/>
        <v>33.17084312754637</v>
      </c>
      <c r="I50" s="71">
        <f t="shared" si="33"/>
        <v>9.629156872453628</v>
      </c>
      <c r="J50" s="71">
        <f t="shared" si="14"/>
        <v>-43.64331066214529</v>
      </c>
      <c r="K50" s="73">
        <f t="shared" si="15"/>
        <v>97.70873835704617</v>
      </c>
      <c r="L50" s="73">
        <f t="shared" si="16"/>
        <v>9.62915687245362</v>
      </c>
      <c r="M50" s="71">
        <f t="shared" si="17"/>
        <v>33.17084312754637</v>
      </c>
      <c r="N50" s="71">
        <f t="shared" si="5"/>
        <v>0</v>
      </c>
      <c r="O50" s="167">
        <f t="shared" si="18"/>
        <v>0</v>
      </c>
      <c r="P50" s="112"/>
      <c r="Q50" s="124">
        <f t="shared" si="6"/>
        <v>-16.257444770499614</v>
      </c>
      <c r="R50" s="124">
        <f t="shared" si="19"/>
        <v>97.01357877659603</v>
      </c>
      <c r="S50" s="124">
        <f t="shared" si="20"/>
        <v>12.93514383687947</v>
      </c>
      <c r="U50" s="203"/>
      <c r="V50" s="203"/>
      <c r="W50" s="203"/>
      <c r="X50" s="204"/>
      <c r="Y50" s="69"/>
      <c r="Z50" s="69"/>
      <c r="AA50" s="319" t="str">
        <f t="shared" si="21"/>
        <v>N2</v>
      </c>
      <c r="AB50" s="69">
        <f t="shared" si="7"/>
        <v>0</v>
      </c>
      <c r="AC50" s="320">
        <f t="shared" si="8"/>
        <v>0</v>
      </c>
      <c r="AD50" s="69"/>
      <c r="AE50" s="244"/>
      <c r="AF50" s="239"/>
      <c r="AG50" s="239"/>
      <c r="AH50" s="239"/>
      <c r="AI50" s="244"/>
      <c r="AJ50" s="244"/>
      <c r="AK50" s="244"/>
      <c r="AL50" s="244"/>
      <c r="AM50" s="244"/>
      <c r="AN50" s="244"/>
      <c r="AO50" s="321" t="str">
        <f t="shared" si="22"/>
        <v>N2</v>
      </c>
      <c r="AP50" s="73">
        <f t="shared" si="23"/>
        <v>42.8</v>
      </c>
      <c r="AQ50" s="322">
        <f t="shared" si="1"/>
        <v>33.17084312754637</v>
      </c>
      <c r="AR50" s="323">
        <f t="shared" si="2"/>
        <v>33.17084312754637</v>
      </c>
      <c r="AS50" s="235"/>
      <c r="AT50" s="239"/>
      <c r="AU50" s="239"/>
      <c r="AV50" s="239"/>
      <c r="AW50" s="239"/>
      <c r="AX50" s="239"/>
      <c r="AY50" s="239"/>
      <c r="AZ50" s="239"/>
      <c r="BA50" s="239"/>
      <c r="BB50" s="319" t="str">
        <f t="shared" si="24"/>
        <v>N2</v>
      </c>
      <c r="BC50" s="69">
        <f t="shared" si="9"/>
        <v>135</v>
      </c>
      <c r="BD50" s="320">
        <f t="shared" si="25"/>
        <v>97.70873835704617</v>
      </c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CA50" s="162">
        <f t="shared" si="10"/>
        <v>0</v>
      </c>
      <c r="CB50" s="162">
        <f t="shared" si="34"/>
        <v>1</v>
      </c>
      <c r="CC50" s="162">
        <f t="shared" si="34"/>
        <v>0</v>
      </c>
      <c r="CD50" s="162">
        <f t="shared" si="34"/>
        <v>0</v>
      </c>
      <c r="CE50" s="162">
        <f t="shared" si="34"/>
        <v>0</v>
      </c>
      <c r="CF50" s="162">
        <f t="shared" si="34"/>
        <v>1</v>
      </c>
      <c r="CG50" s="162">
        <f t="shared" si="34"/>
        <v>0</v>
      </c>
      <c r="CH50" s="162">
        <f t="shared" si="34"/>
        <v>1</v>
      </c>
      <c r="CI50" s="162">
        <f t="shared" si="34"/>
        <v>0</v>
      </c>
      <c r="CJ50" s="162">
        <f t="shared" si="34"/>
        <v>0</v>
      </c>
      <c r="CK50" s="162">
        <f t="shared" si="34"/>
        <v>0</v>
      </c>
      <c r="CL50" s="162">
        <f t="shared" si="34"/>
        <v>0</v>
      </c>
      <c r="CM50" s="162">
        <f t="shared" si="27"/>
        <v>0</v>
      </c>
      <c r="CN50" s="162">
        <f t="shared" si="12"/>
        <v>0</v>
      </c>
      <c r="CO50" s="162">
        <f t="shared" si="28"/>
        <v>1</v>
      </c>
      <c r="CP50" s="163">
        <f t="shared" si="29"/>
        <v>97.70873835704617</v>
      </c>
      <c r="CQ50" s="164"/>
      <c r="CR50" s="164"/>
      <c r="CS50" s="164"/>
      <c r="CT50" s="164"/>
      <c r="CU50" s="164"/>
      <c r="CV50" s="164"/>
      <c r="CW50" s="165">
        <f t="shared" si="30"/>
        <v>9.629156872453628</v>
      </c>
      <c r="CX50" s="165">
        <f t="shared" si="31"/>
        <v>280.0224873465901</v>
      </c>
      <c r="CY50" s="162">
        <f t="shared" si="32"/>
        <v>1</v>
      </c>
      <c r="CZ50" s="164"/>
    </row>
    <row r="51" spans="1:104" ht="12.75">
      <c r="A51" s="239"/>
      <c r="B51" s="166" t="s">
        <v>112</v>
      </c>
      <c r="C51" s="114">
        <v>10</v>
      </c>
      <c r="D51" s="233">
        <f t="shared" si="13"/>
        <v>318</v>
      </c>
      <c r="E51" s="157">
        <v>23.5</v>
      </c>
      <c r="F51" s="157">
        <v>55.7</v>
      </c>
      <c r="G51" s="464">
        <f aca="true" t="shared" si="35" ref="G51:G82">S51</f>
        <v>13.09972704415125</v>
      </c>
      <c r="H51" s="195">
        <f aca="true" t="shared" si="36" ref="H51:H82">16*((10*(E51/$K$11))^$K$13)*(G51/12)*(C51/30)</f>
        <v>37.28827737570967</v>
      </c>
      <c r="I51" s="71">
        <f t="shared" si="33"/>
        <v>18.411722624290334</v>
      </c>
      <c r="J51" s="71">
        <f t="shared" si="14"/>
        <v>-20.337300371646506</v>
      </c>
      <c r="K51" s="73">
        <f t="shared" si="15"/>
        <v>116.1204609813365</v>
      </c>
      <c r="L51" s="73">
        <f t="shared" si="16"/>
        <v>18.411722624290334</v>
      </c>
      <c r="M51" s="71">
        <f t="shared" si="17"/>
        <v>37.28827737570967</v>
      </c>
      <c r="N51" s="71">
        <f aca="true" t="shared" si="37" ref="N51:N67">IF(CY51=1,H51-M51,"")</f>
        <v>0</v>
      </c>
      <c r="O51" s="167">
        <f t="shared" si="18"/>
        <v>0</v>
      </c>
      <c r="P51" s="112"/>
      <c r="Q51" s="124">
        <f aca="true" t="shared" si="38" ref="Q51:Q82">23.45*SIN(RADIANS((360/365)*(D51-81)))</f>
        <v>-18.91195474122615</v>
      </c>
      <c r="R51" s="124">
        <f t="shared" si="19"/>
        <v>98.24795283113437</v>
      </c>
      <c r="S51" s="124">
        <f t="shared" si="20"/>
        <v>13.09972704415125</v>
      </c>
      <c r="U51" s="203"/>
      <c r="V51" s="203"/>
      <c r="W51" s="203"/>
      <c r="X51" s="204"/>
      <c r="Y51" s="69"/>
      <c r="Z51" s="69"/>
      <c r="AA51" s="319" t="str">
        <f t="shared" si="21"/>
        <v>N3</v>
      </c>
      <c r="AB51" s="69">
        <f t="shared" si="7"/>
        <v>0</v>
      </c>
      <c r="AC51" s="320">
        <f t="shared" si="8"/>
        <v>0</v>
      </c>
      <c r="AD51" s="69"/>
      <c r="AE51" s="244"/>
      <c r="AF51" s="239"/>
      <c r="AG51" s="239"/>
      <c r="AH51" s="239"/>
      <c r="AI51" s="244"/>
      <c r="AJ51" s="244"/>
      <c r="AK51" s="244"/>
      <c r="AL51" s="244"/>
      <c r="AM51" s="244"/>
      <c r="AN51" s="244"/>
      <c r="AO51" s="321" t="str">
        <f t="shared" si="22"/>
        <v>N3</v>
      </c>
      <c r="AP51" s="73">
        <f t="shared" si="23"/>
        <v>55.7</v>
      </c>
      <c r="AQ51" s="322">
        <f t="shared" si="1"/>
        <v>37.28827737570967</v>
      </c>
      <c r="AR51" s="323">
        <f t="shared" si="2"/>
        <v>37.28827737570967</v>
      </c>
      <c r="AS51" s="235"/>
      <c r="AT51" s="239"/>
      <c r="AU51" s="239"/>
      <c r="AV51" s="239"/>
      <c r="AW51" s="239"/>
      <c r="AX51" s="239"/>
      <c r="AY51" s="239"/>
      <c r="AZ51" s="239"/>
      <c r="BA51" s="239"/>
      <c r="BB51" s="319" t="str">
        <f t="shared" si="24"/>
        <v>N3</v>
      </c>
      <c r="BC51" s="69">
        <f aca="true" t="shared" si="39" ref="BC51:BC82">$C$11</f>
        <v>135</v>
      </c>
      <c r="BD51" s="320">
        <f t="shared" si="25"/>
        <v>116.1204609813365</v>
      </c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CA51" s="162">
        <f t="shared" si="10"/>
        <v>0</v>
      </c>
      <c r="CB51" s="162">
        <f t="shared" si="34"/>
        <v>0</v>
      </c>
      <c r="CC51" s="162">
        <f t="shared" si="34"/>
        <v>1</v>
      </c>
      <c r="CD51" s="162">
        <f t="shared" si="34"/>
        <v>0</v>
      </c>
      <c r="CE51" s="162">
        <f t="shared" si="34"/>
        <v>0</v>
      </c>
      <c r="CF51" s="162">
        <f t="shared" si="34"/>
        <v>0</v>
      </c>
      <c r="CG51" s="162">
        <f t="shared" si="34"/>
        <v>1</v>
      </c>
      <c r="CH51" s="162">
        <f t="shared" si="34"/>
        <v>0</v>
      </c>
      <c r="CI51" s="162">
        <f t="shared" si="34"/>
        <v>1</v>
      </c>
      <c r="CJ51" s="162">
        <f t="shared" si="34"/>
        <v>0</v>
      </c>
      <c r="CK51" s="162">
        <f t="shared" si="34"/>
        <v>0</v>
      </c>
      <c r="CL51" s="162">
        <f t="shared" si="34"/>
        <v>0</v>
      </c>
      <c r="CM51" s="162">
        <f t="shared" si="27"/>
        <v>0</v>
      </c>
      <c r="CN51" s="162">
        <f aca="true" t="shared" si="40" ref="CN51:CN67">IF(AND(CM51=1,CM50=0),I51,0)</f>
        <v>0</v>
      </c>
      <c r="CO51" s="162">
        <f t="shared" si="28"/>
        <v>1</v>
      </c>
      <c r="CP51" s="163">
        <f t="shared" si="29"/>
        <v>116.1204609813365</v>
      </c>
      <c r="CQ51" s="164"/>
      <c r="CR51" s="164"/>
      <c r="CS51" s="164"/>
      <c r="CT51" s="164"/>
      <c r="CU51" s="164"/>
      <c r="CV51" s="164"/>
      <c r="CW51" s="165">
        <f t="shared" si="30"/>
        <v>28.040879496743962</v>
      </c>
      <c r="CX51" s="165">
        <f t="shared" si="31"/>
        <v>298.43420997088043</v>
      </c>
      <c r="CY51" s="162">
        <f t="shared" si="32"/>
        <v>1</v>
      </c>
      <c r="CZ51" s="164"/>
    </row>
    <row r="52" spans="1:104" ht="12.75">
      <c r="A52" s="239"/>
      <c r="B52" s="166" t="s">
        <v>113</v>
      </c>
      <c r="C52" s="114">
        <v>10</v>
      </c>
      <c r="D52" s="233">
        <f t="shared" si="13"/>
        <v>328</v>
      </c>
      <c r="E52" s="157">
        <v>23.6</v>
      </c>
      <c r="F52" s="157">
        <v>50.8</v>
      </c>
      <c r="G52" s="464">
        <f t="shared" si="35"/>
        <v>13.233728205010072</v>
      </c>
      <c r="H52" s="195">
        <f t="shared" si="36"/>
        <v>38.05556924091223</v>
      </c>
      <c r="I52" s="71">
        <f t="shared" si="33"/>
        <v>12.74443075908777</v>
      </c>
      <c r="J52" s="71">
        <f t="shared" si="14"/>
        <v>-6.278886960481615</v>
      </c>
      <c r="K52" s="73">
        <f t="shared" si="15"/>
        <v>128.86489174042427</v>
      </c>
      <c r="L52" s="73">
        <f t="shared" si="16"/>
        <v>12.744430759087763</v>
      </c>
      <c r="M52" s="71">
        <f t="shared" si="17"/>
        <v>38.05556924091223</v>
      </c>
      <c r="N52" s="71">
        <f t="shared" si="37"/>
        <v>0</v>
      </c>
      <c r="O52" s="167">
        <f t="shared" si="18"/>
        <v>0</v>
      </c>
      <c r="P52" s="112"/>
      <c r="Q52" s="124">
        <f t="shared" si="38"/>
        <v>-21.007431367733613</v>
      </c>
      <c r="R52" s="124">
        <f t="shared" si="19"/>
        <v>99.25296153757554</v>
      </c>
      <c r="S52" s="124">
        <f t="shared" si="20"/>
        <v>13.233728205010072</v>
      </c>
      <c r="U52" s="203"/>
      <c r="V52" s="203"/>
      <c r="W52" s="203"/>
      <c r="X52" s="204"/>
      <c r="Y52" s="69"/>
      <c r="Z52" s="69"/>
      <c r="AA52" s="319" t="str">
        <f t="shared" si="21"/>
        <v>D1</v>
      </c>
      <c r="AB52" s="69">
        <f t="shared" si="7"/>
        <v>0</v>
      </c>
      <c r="AC52" s="320">
        <f t="shared" si="8"/>
        <v>0</v>
      </c>
      <c r="AD52" s="69"/>
      <c r="AE52" s="244"/>
      <c r="AF52" s="239"/>
      <c r="AG52" s="239"/>
      <c r="AH52" s="239"/>
      <c r="AI52" s="244"/>
      <c r="AJ52" s="244"/>
      <c r="AK52" s="244"/>
      <c r="AL52" s="244"/>
      <c r="AM52" s="244"/>
      <c r="AN52" s="244"/>
      <c r="AO52" s="321" t="str">
        <f t="shared" si="22"/>
        <v>D1</v>
      </c>
      <c r="AP52" s="73">
        <f t="shared" si="23"/>
        <v>50.8</v>
      </c>
      <c r="AQ52" s="322">
        <f t="shared" si="1"/>
        <v>38.05556924091223</v>
      </c>
      <c r="AR52" s="323">
        <f t="shared" si="2"/>
        <v>38.05556924091223</v>
      </c>
      <c r="AS52" s="235"/>
      <c r="AT52" s="239"/>
      <c r="AU52" s="239"/>
      <c r="AV52" s="239"/>
      <c r="AW52" s="239"/>
      <c r="AX52" s="239"/>
      <c r="AY52" s="239"/>
      <c r="AZ52" s="239"/>
      <c r="BA52" s="239"/>
      <c r="BB52" s="319" t="str">
        <f t="shared" si="24"/>
        <v>D1</v>
      </c>
      <c r="BC52" s="69">
        <f t="shared" si="39"/>
        <v>135</v>
      </c>
      <c r="BD52" s="320">
        <f t="shared" si="25"/>
        <v>128.86489174042427</v>
      </c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CA52" s="162">
        <f t="shared" si="10"/>
        <v>0</v>
      </c>
      <c r="CB52" s="162">
        <f aca="true" t="shared" si="41" ref="CB52:CL54">IF(AND(CA51=1,CA52=0),1,0)</f>
        <v>0</v>
      </c>
      <c r="CC52" s="162">
        <f t="shared" si="41"/>
        <v>0</v>
      </c>
      <c r="CD52" s="162">
        <f t="shared" si="41"/>
        <v>1</v>
      </c>
      <c r="CE52" s="162">
        <f t="shared" si="41"/>
        <v>0</v>
      </c>
      <c r="CF52" s="162">
        <f t="shared" si="41"/>
        <v>0</v>
      </c>
      <c r="CG52" s="162">
        <f t="shared" si="41"/>
        <v>0</v>
      </c>
      <c r="CH52" s="162">
        <f t="shared" si="41"/>
        <v>1</v>
      </c>
      <c r="CI52" s="162">
        <f t="shared" si="41"/>
        <v>0</v>
      </c>
      <c r="CJ52" s="162">
        <f t="shared" si="41"/>
        <v>1</v>
      </c>
      <c r="CK52" s="162">
        <f t="shared" si="41"/>
        <v>0</v>
      </c>
      <c r="CL52" s="162">
        <f t="shared" si="41"/>
        <v>0</v>
      </c>
      <c r="CM52" s="162">
        <f t="shared" si="27"/>
        <v>0</v>
      </c>
      <c r="CN52" s="162">
        <f t="shared" si="40"/>
        <v>0</v>
      </c>
      <c r="CO52" s="162">
        <f t="shared" si="28"/>
        <v>1</v>
      </c>
      <c r="CP52" s="163">
        <f aca="true" t="shared" si="42" ref="CP52:CP83">IF(CY52=1,IF(CO52=0,IF($CX$93=1,$CN$92,$CA$9),IF(I52&lt;0,$CA$9*EXP(J52/$CA$9),IF(I52&gt;0,CP51+ABS(I52)))),"")</f>
        <v>128.86489174042427</v>
      </c>
      <c r="CQ52" s="164"/>
      <c r="CR52" s="164"/>
      <c r="CS52" s="164"/>
      <c r="CT52" s="164"/>
      <c r="CU52" s="164"/>
      <c r="CV52" s="164"/>
      <c r="CW52" s="165">
        <f t="shared" si="30"/>
        <v>40.78531025583173</v>
      </c>
      <c r="CX52" s="165">
        <f t="shared" si="31"/>
        <v>311.1786407299682</v>
      </c>
      <c r="CY52" s="162">
        <f t="shared" si="32"/>
        <v>1</v>
      </c>
      <c r="CZ52" s="164"/>
    </row>
    <row r="53" spans="1:104" ht="12.75">
      <c r="A53" s="239"/>
      <c r="B53" s="166" t="s">
        <v>114</v>
      </c>
      <c r="C53" s="114">
        <v>10</v>
      </c>
      <c r="D53" s="233">
        <f t="shared" si="13"/>
        <v>338</v>
      </c>
      <c r="E53" s="157">
        <v>23.8</v>
      </c>
      <c r="F53" s="157">
        <v>58</v>
      </c>
      <c r="G53" s="464">
        <f t="shared" si="35"/>
        <v>13.330512508241384</v>
      </c>
      <c r="H53" s="195">
        <f t="shared" si="36"/>
        <v>39.11818968552475</v>
      </c>
      <c r="I53" s="71">
        <f t="shared" si="33"/>
        <v>18.881810314475253</v>
      </c>
      <c r="J53" s="71">
        <f t="shared" si="14"/>
        <v>0</v>
      </c>
      <c r="K53" s="73">
        <f t="shared" si="15"/>
        <v>135</v>
      </c>
      <c r="L53" s="73">
        <f t="shared" si="16"/>
        <v>6.1351082595757305</v>
      </c>
      <c r="M53" s="71">
        <f t="shared" si="17"/>
        <v>39.11818968552475</v>
      </c>
      <c r="N53" s="71">
        <f t="shared" si="37"/>
        <v>0</v>
      </c>
      <c r="O53" s="167">
        <f t="shared" si="18"/>
        <v>12.746702054899522</v>
      </c>
      <c r="P53" s="112"/>
      <c r="Q53" s="124">
        <f t="shared" si="38"/>
        <v>-22.4819328083521</v>
      </c>
      <c r="R53" s="124">
        <f t="shared" si="19"/>
        <v>99.97884381181038</v>
      </c>
      <c r="S53" s="124">
        <f t="shared" si="20"/>
        <v>13.330512508241384</v>
      </c>
      <c r="U53" s="203"/>
      <c r="V53" s="203"/>
      <c r="W53" s="203"/>
      <c r="X53" s="204"/>
      <c r="Y53" s="69"/>
      <c r="Z53" s="69"/>
      <c r="AA53" s="319" t="str">
        <f t="shared" si="21"/>
        <v>D2</v>
      </c>
      <c r="AB53" s="69">
        <f t="shared" si="7"/>
        <v>0</v>
      </c>
      <c r="AC53" s="320">
        <f t="shared" si="8"/>
        <v>12.746702054899522</v>
      </c>
      <c r="AD53" s="69"/>
      <c r="AE53" s="244"/>
      <c r="AF53" s="239"/>
      <c r="AG53" s="239"/>
      <c r="AH53" s="239"/>
      <c r="AI53" s="244"/>
      <c r="AJ53" s="244"/>
      <c r="AK53" s="244"/>
      <c r="AL53" s="244"/>
      <c r="AM53" s="244"/>
      <c r="AN53" s="244"/>
      <c r="AO53" s="321" t="str">
        <f t="shared" si="22"/>
        <v>D2</v>
      </c>
      <c r="AP53" s="73">
        <f t="shared" si="23"/>
        <v>58</v>
      </c>
      <c r="AQ53" s="322">
        <f t="shared" si="1"/>
        <v>39.11818968552475</v>
      </c>
      <c r="AR53" s="323">
        <f t="shared" si="2"/>
        <v>39.11818968552475</v>
      </c>
      <c r="AS53" s="235"/>
      <c r="AT53" s="239"/>
      <c r="AU53" s="239"/>
      <c r="AV53" s="239"/>
      <c r="AW53" s="239"/>
      <c r="AX53" s="239"/>
      <c r="AY53" s="239"/>
      <c r="AZ53" s="239"/>
      <c r="BA53" s="239"/>
      <c r="BB53" s="319" t="str">
        <f t="shared" si="24"/>
        <v>D2</v>
      </c>
      <c r="BC53" s="69">
        <f t="shared" si="39"/>
        <v>135</v>
      </c>
      <c r="BD53" s="320">
        <f t="shared" si="25"/>
        <v>135</v>
      </c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CA53" s="162">
        <f t="shared" si="10"/>
        <v>0</v>
      </c>
      <c r="CB53" s="162">
        <f t="shared" si="41"/>
        <v>0</v>
      </c>
      <c r="CC53" s="162">
        <f t="shared" si="41"/>
        <v>0</v>
      </c>
      <c r="CD53" s="162">
        <f t="shared" si="41"/>
        <v>0</v>
      </c>
      <c r="CE53" s="162">
        <f t="shared" si="41"/>
        <v>1</v>
      </c>
      <c r="CF53" s="162">
        <f t="shared" si="41"/>
        <v>0</v>
      </c>
      <c r="CG53" s="162">
        <f t="shared" si="41"/>
        <v>0</v>
      </c>
      <c r="CH53" s="162">
        <f t="shared" si="41"/>
        <v>0</v>
      </c>
      <c r="CI53" s="162">
        <f t="shared" si="41"/>
        <v>1</v>
      </c>
      <c r="CJ53" s="162">
        <f t="shared" si="41"/>
        <v>0</v>
      </c>
      <c r="CK53" s="162">
        <f t="shared" si="41"/>
        <v>1</v>
      </c>
      <c r="CL53" s="162">
        <f t="shared" si="41"/>
        <v>0</v>
      </c>
      <c r="CM53" s="162">
        <f t="shared" si="27"/>
        <v>0</v>
      </c>
      <c r="CN53" s="162">
        <f t="shared" si="40"/>
        <v>0</v>
      </c>
      <c r="CO53" s="162">
        <f t="shared" si="28"/>
        <v>1</v>
      </c>
      <c r="CP53" s="163">
        <f t="shared" si="42"/>
        <v>147.74670205489952</v>
      </c>
      <c r="CQ53" s="164"/>
      <c r="CR53" s="164"/>
      <c r="CS53" s="164"/>
      <c r="CT53" s="164"/>
      <c r="CU53" s="164"/>
      <c r="CV53" s="164"/>
      <c r="CW53" s="165">
        <f t="shared" si="30"/>
        <v>59.667120570306984</v>
      </c>
      <c r="CX53" s="165">
        <f t="shared" si="31"/>
        <v>330.0604510444435</v>
      </c>
      <c r="CY53" s="162">
        <f t="shared" si="32"/>
        <v>1</v>
      </c>
      <c r="CZ53" s="164"/>
    </row>
    <row r="54" spans="1:104" ht="12.75">
      <c r="A54" s="239"/>
      <c r="B54" s="166" t="s">
        <v>115</v>
      </c>
      <c r="C54" s="114">
        <v>11</v>
      </c>
      <c r="D54" s="233">
        <f t="shared" si="13"/>
        <v>348</v>
      </c>
      <c r="E54" s="157">
        <v>24</v>
      </c>
      <c r="F54" s="157">
        <v>90.5</v>
      </c>
      <c r="G54" s="464">
        <f t="shared" si="35"/>
        <v>13.384643076335115</v>
      </c>
      <c r="H54" s="195">
        <f t="shared" si="36"/>
        <v>44.08122596221679</v>
      </c>
      <c r="I54" s="71">
        <f t="shared" si="33"/>
        <v>46.41877403778321</v>
      </c>
      <c r="J54" s="71">
        <f t="shared" si="14"/>
        <v>0</v>
      </c>
      <c r="K54" s="73">
        <f t="shared" si="15"/>
        <v>135</v>
      </c>
      <c r="L54" s="73">
        <f t="shared" si="16"/>
        <v>0</v>
      </c>
      <c r="M54" s="71">
        <f t="shared" si="17"/>
        <v>44.08122596221679</v>
      </c>
      <c r="N54" s="71">
        <f t="shared" si="37"/>
        <v>0</v>
      </c>
      <c r="O54" s="167">
        <f t="shared" si="18"/>
        <v>46.41877403778321</v>
      </c>
      <c r="P54" s="112"/>
      <c r="Q54" s="124">
        <f t="shared" si="38"/>
        <v>-23.29187311532086</v>
      </c>
      <c r="R54" s="124">
        <f t="shared" si="19"/>
        <v>100.38482307251336</v>
      </c>
      <c r="S54" s="124">
        <f t="shared" si="20"/>
        <v>13.384643076335115</v>
      </c>
      <c r="U54" s="203"/>
      <c r="V54" s="203"/>
      <c r="W54" s="203"/>
      <c r="X54" s="204"/>
      <c r="Y54" s="69"/>
      <c r="Z54" s="69"/>
      <c r="AA54" s="319" t="str">
        <f t="shared" si="21"/>
        <v>D3</v>
      </c>
      <c r="AB54" s="69">
        <f t="shared" si="7"/>
        <v>0</v>
      </c>
      <c r="AC54" s="320">
        <f t="shared" si="8"/>
        <v>46.41877403778321</v>
      </c>
      <c r="AD54" s="69"/>
      <c r="AE54" s="244"/>
      <c r="AF54" s="239"/>
      <c r="AG54" s="239"/>
      <c r="AH54" s="239"/>
      <c r="AI54" s="244"/>
      <c r="AJ54" s="244"/>
      <c r="AK54" s="244"/>
      <c r="AL54" s="244"/>
      <c r="AM54" s="244"/>
      <c r="AN54" s="244"/>
      <c r="AO54" s="321" t="str">
        <f t="shared" si="22"/>
        <v>D3</v>
      </c>
      <c r="AP54" s="73">
        <f t="shared" si="23"/>
        <v>90.5</v>
      </c>
      <c r="AQ54" s="322">
        <f t="shared" si="1"/>
        <v>44.08122596221679</v>
      </c>
      <c r="AR54" s="323">
        <f t="shared" si="2"/>
        <v>44.08122596221679</v>
      </c>
      <c r="AS54" s="235"/>
      <c r="AT54" s="239"/>
      <c r="AU54" s="239"/>
      <c r="AV54" s="239"/>
      <c r="AW54" s="239"/>
      <c r="AX54" s="239"/>
      <c r="AY54" s="239"/>
      <c r="AZ54" s="239"/>
      <c r="BA54" s="239"/>
      <c r="BB54" s="319" t="str">
        <f t="shared" si="24"/>
        <v>D3</v>
      </c>
      <c r="BC54" s="69">
        <f t="shared" si="39"/>
        <v>135</v>
      </c>
      <c r="BD54" s="320">
        <f t="shared" si="25"/>
        <v>135</v>
      </c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CA54" s="162">
        <f t="shared" si="10"/>
        <v>0</v>
      </c>
      <c r="CB54" s="162">
        <f t="shared" si="41"/>
        <v>0</v>
      </c>
      <c r="CC54" s="162">
        <f t="shared" si="41"/>
        <v>0</v>
      </c>
      <c r="CD54" s="162">
        <f t="shared" si="41"/>
        <v>0</v>
      </c>
      <c r="CE54" s="162">
        <f t="shared" si="41"/>
        <v>0</v>
      </c>
      <c r="CF54" s="162">
        <f t="shared" si="41"/>
        <v>1</v>
      </c>
      <c r="CG54" s="162">
        <f t="shared" si="41"/>
        <v>0</v>
      </c>
      <c r="CH54" s="162">
        <f t="shared" si="41"/>
        <v>0</v>
      </c>
      <c r="CI54" s="162">
        <f t="shared" si="41"/>
        <v>0</v>
      </c>
      <c r="CJ54" s="162">
        <f t="shared" si="41"/>
        <v>1</v>
      </c>
      <c r="CK54" s="162">
        <f t="shared" si="41"/>
        <v>0</v>
      </c>
      <c r="CL54" s="162">
        <f t="shared" si="41"/>
        <v>1</v>
      </c>
      <c r="CM54" s="162">
        <f t="shared" si="27"/>
        <v>0</v>
      </c>
      <c r="CN54" s="162">
        <f t="shared" si="40"/>
        <v>0</v>
      </c>
      <c r="CO54" s="162">
        <f t="shared" si="28"/>
        <v>1</v>
      </c>
      <c r="CP54" s="163">
        <f t="shared" si="42"/>
        <v>194.16547609268272</v>
      </c>
      <c r="CQ54" s="164"/>
      <c r="CR54" s="164"/>
      <c r="CS54" s="164"/>
      <c r="CT54" s="164"/>
      <c r="CU54" s="164"/>
      <c r="CV54" s="164"/>
      <c r="CW54" s="165">
        <f t="shared" si="30"/>
        <v>106.0858946080902</v>
      </c>
      <c r="CX54" s="165">
        <f t="shared" si="31"/>
        <v>376.47922508222666</v>
      </c>
      <c r="CY54" s="162">
        <f t="shared" si="32"/>
        <v>1</v>
      </c>
      <c r="CZ54" s="164"/>
    </row>
    <row r="55" spans="1:104" ht="12.75">
      <c r="A55" s="239"/>
      <c r="B55" s="166">
        <v>1</v>
      </c>
      <c r="C55" s="114">
        <v>1</v>
      </c>
      <c r="D55" s="233">
        <f t="shared" si="13"/>
        <v>359</v>
      </c>
      <c r="E55" s="157">
        <v>1</v>
      </c>
      <c r="F55" s="157">
        <v>0</v>
      </c>
      <c r="G55" s="464">
        <f t="shared" si="35"/>
        <v>13.39106634858289</v>
      </c>
      <c r="H55" s="195">
        <f t="shared" si="36"/>
        <v>0.001952371082298252</v>
      </c>
      <c r="I55" s="71">
        <f t="shared" si="33"/>
        <v>-0.001952371082298252</v>
      </c>
      <c r="J55" s="71">
        <f t="shared" si="14"/>
        <v>-0.001952371082298252</v>
      </c>
      <c r="K55" s="73">
        <f aca="true" t="shared" si="43" ref="K55:K67">IF(CY55=1,IF(CP55&gt;$CA$9,$CA$9,CP55),"")</f>
        <v>134.99804764303525</v>
      </c>
      <c r="L55" s="73">
        <f t="shared" si="16"/>
        <v>-0.0019523569647503791</v>
      </c>
      <c r="M55" s="71">
        <f t="shared" si="17"/>
        <v>0.0019523569647503791</v>
      </c>
      <c r="N55" s="71">
        <f t="shared" si="37"/>
        <v>1.4117547872914693E-08</v>
      </c>
      <c r="O55" s="167">
        <f t="shared" si="18"/>
        <v>0</v>
      </c>
      <c r="P55" s="112"/>
      <c r="Q55" s="124">
        <f t="shared" si="38"/>
        <v>-23.387270619386246</v>
      </c>
      <c r="R55" s="124">
        <f t="shared" si="19"/>
        <v>100.43299761437167</v>
      </c>
      <c r="S55" s="124">
        <f t="shared" si="20"/>
        <v>13.39106634858289</v>
      </c>
      <c r="U55" s="203"/>
      <c r="V55" s="203"/>
      <c r="W55" s="203"/>
      <c r="X55" s="204"/>
      <c r="Y55" s="69"/>
      <c r="Z55" s="69"/>
      <c r="AA55" s="319">
        <f t="shared" si="21"/>
        <v>1</v>
      </c>
      <c r="AB55" s="69">
        <f aca="true" t="shared" si="44" ref="AB55:AB67">IF(O55&lt;&gt;N55,N55*-1,0)</f>
        <v>-1.4117547872914693E-08</v>
      </c>
      <c r="AC55" s="320">
        <f aca="true" t="shared" si="45" ref="AC55:AC67">IF(O55&lt;&gt;N55,O55,0)</f>
        <v>0</v>
      </c>
      <c r="AD55" s="69"/>
      <c r="AE55" s="244"/>
      <c r="AF55" s="239"/>
      <c r="AG55" s="239"/>
      <c r="AH55" s="239"/>
      <c r="AI55" s="244"/>
      <c r="AJ55" s="244"/>
      <c r="AK55" s="244"/>
      <c r="AL55" s="244"/>
      <c r="AM55" s="244"/>
      <c r="AN55" s="244"/>
      <c r="AO55" s="321">
        <f t="shared" si="22"/>
        <v>1</v>
      </c>
      <c r="AP55" s="73">
        <f t="shared" si="23"/>
        <v>0</v>
      </c>
      <c r="AQ55" s="322">
        <f t="shared" si="1"/>
        <v>0.001952371082298252</v>
      </c>
      <c r="AR55" s="323">
        <f t="shared" si="2"/>
        <v>0.0019523569647503791</v>
      </c>
      <c r="AS55" s="235"/>
      <c r="AT55" s="239"/>
      <c r="AU55" s="239"/>
      <c r="AV55" s="239"/>
      <c r="AW55" s="239"/>
      <c r="AX55" s="239"/>
      <c r="AY55" s="239"/>
      <c r="AZ55" s="239"/>
      <c r="BA55" s="239"/>
      <c r="BB55" s="319">
        <f t="shared" si="24"/>
        <v>1</v>
      </c>
      <c r="BC55" s="69">
        <f t="shared" si="39"/>
        <v>135</v>
      </c>
      <c r="BD55" s="320">
        <f t="shared" si="25"/>
        <v>134.99804764303525</v>
      </c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CA55" s="162">
        <f aca="true" t="shared" si="46" ref="CA55:CA67">IF(I55&lt;0,1,0)</f>
        <v>1</v>
      </c>
      <c r="CB55" s="162">
        <f aca="true" t="shared" si="47" ref="CB55:CB67">IF(AND(CA54=1,CA55=0),1,0)</f>
        <v>0</v>
      </c>
      <c r="CC55" s="162">
        <f aca="true" t="shared" si="48" ref="CC55:CC67">IF(AND(CB54=1,CB55=0),1,0)</f>
        <v>0</v>
      </c>
      <c r="CD55" s="162">
        <f aca="true" t="shared" si="49" ref="CD55:CD67">IF(AND(CC54=1,CC55=0),1,0)</f>
        <v>0</v>
      </c>
      <c r="CE55" s="162">
        <f aca="true" t="shared" si="50" ref="CE55:CE67">IF(AND(CD54=1,CD55=0),1,0)</f>
        <v>0</v>
      </c>
      <c r="CF55" s="162">
        <f aca="true" t="shared" si="51" ref="CF55:CF67">IF(AND(CE54=1,CE55=0),1,0)</f>
        <v>0</v>
      </c>
      <c r="CG55" s="162">
        <f aca="true" t="shared" si="52" ref="CG55:CG67">IF(AND(CF54=1,CF55=0),1,0)</f>
        <v>1</v>
      </c>
      <c r="CH55" s="162">
        <f aca="true" t="shared" si="53" ref="CH55:CH67">IF(AND(CG54=1,CG55=0),1,0)</f>
        <v>0</v>
      </c>
      <c r="CI55" s="162">
        <f aca="true" t="shared" si="54" ref="CI55:CI67">IF(AND(CH54=1,CH55=0),1,0)</f>
        <v>0</v>
      </c>
      <c r="CJ55" s="162">
        <f aca="true" t="shared" si="55" ref="CJ55:CJ67">IF(AND(CI54=1,CI55=0),1,0)</f>
        <v>0</v>
      </c>
      <c r="CK55" s="162">
        <f aca="true" t="shared" si="56" ref="CK55:CK67">IF(AND(CJ54=1,CJ55=0),1,0)</f>
        <v>1</v>
      </c>
      <c r="CL55" s="162">
        <f aca="true" t="shared" si="57" ref="CL55:CL67">IF(AND(CK54=1,CK55=0),1,0)</f>
        <v>0</v>
      </c>
      <c r="CM55" s="162">
        <f aca="true" t="shared" si="58" ref="CM55:CM67">IF(AND($CX$93=1,OR(CW55=$CW$92,CM54=1)),1,0)</f>
        <v>0</v>
      </c>
      <c r="CN55" s="162">
        <f t="shared" si="40"/>
        <v>0</v>
      </c>
      <c r="CO55" s="162">
        <f aca="true" t="shared" si="59" ref="CO55:CO67">IF(OR(CA55=1,CB55=1,CC55=1,CD55=1,CE55=1,CF55=1,CG55=1,CH55=1,CI55=1,CJ55=1,CK55=1,CL55=1,CM55=1),1,0)</f>
        <v>1</v>
      </c>
      <c r="CP55" s="163">
        <f t="shared" si="42"/>
        <v>134.99804764303525</v>
      </c>
      <c r="CQ55" s="164"/>
      <c r="CR55" s="164"/>
      <c r="CS55" s="164"/>
      <c r="CT55" s="164"/>
      <c r="CU55" s="164"/>
      <c r="CV55" s="164"/>
      <c r="CW55" s="165">
        <f t="shared" si="30"/>
        <v>0</v>
      </c>
      <c r="CX55" s="165">
        <f t="shared" si="31"/>
        <v>376.47922508222666</v>
      </c>
      <c r="CY55" s="162">
        <f t="shared" si="32"/>
        <v>1</v>
      </c>
      <c r="CZ55" s="164"/>
    </row>
    <row r="56" spans="1:104" ht="12.75">
      <c r="A56" s="239"/>
      <c r="B56" s="166">
        <v>1</v>
      </c>
      <c r="C56" s="114">
        <v>1</v>
      </c>
      <c r="D56" s="233">
        <f t="shared" si="13"/>
        <v>360</v>
      </c>
      <c r="E56" s="157">
        <v>1</v>
      </c>
      <c r="F56" s="157">
        <v>0</v>
      </c>
      <c r="G56" s="464">
        <f t="shared" si="35"/>
        <v>13.388845256791505</v>
      </c>
      <c r="H56" s="195">
        <f t="shared" si="36"/>
        <v>0.0019520472548097047</v>
      </c>
      <c r="I56" s="71">
        <f t="shared" si="33"/>
        <v>-0.0019520472548097047</v>
      </c>
      <c r="J56" s="71">
        <f t="shared" si="14"/>
        <v>-0.0039044183371079568</v>
      </c>
      <c r="K56" s="73">
        <f t="shared" si="43"/>
        <v>134.9960956381234</v>
      </c>
      <c r="L56" s="73">
        <f t="shared" si="16"/>
        <v>-0.001952004911856875</v>
      </c>
      <c r="M56" s="71">
        <f t="shared" si="17"/>
        <v>0.001952004911856875</v>
      </c>
      <c r="N56" s="71">
        <f t="shared" si="37"/>
        <v>4.234295282977418E-08</v>
      </c>
      <c r="O56" s="167">
        <f t="shared" si="18"/>
        <v>0</v>
      </c>
      <c r="P56" s="112"/>
      <c r="Q56" s="124">
        <f t="shared" si="38"/>
        <v>-23.354300459651352</v>
      </c>
      <c r="R56" s="124">
        <f t="shared" si="19"/>
        <v>100.41633942593629</v>
      </c>
      <c r="S56" s="124">
        <f t="shared" si="20"/>
        <v>13.388845256791505</v>
      </c>
      <c r="U56" s="203"/>
      <c r="V56" s="203"/>
      <c r="W56" s="203"/>
      <c r="X56" s="204"/>
      <c r="Y56" s="69"/>
      <c r="Z56" s="69"/>
      <c r="AA56" s="319">
        <f t="shared" si="21"/>
        <v>1</v>
      </c>
      <c r="AB56" s="69">
        <f t="shared" si="44"/>
        <v>-4.234295282977418E-08</v>
      </c>
      <c r="AC56" s="320">
        <f t="shared" si="45"/>
        <v>0</v>
      </c>
      <c r="AD56" s="69"/>
      <c r="AE56" s="244"/>
      <c r="AF56" s="239"/>
      <c r="AG56" s="239"/>
      <c r="AH56" s="239"/>
      <c r="AI56" s="244"/>
      <c r="AJ56" s="244"/>
      <c r="AK56" s="244"/>
      <c r="AL56" s="244"/>
      <c r="AM56" s="244"/>
      <c r="AN56" s="244"/>
      <c r="AO56" s="321">
        <f t="shared" si="22"/>
        <v>1</v>
      </c>
      <c r="AP56" s="73">
        <f t="shared" si="23"/>
        <v>0</v>
      </c>
      <c r="AQ56" s="322">
        <f t="shared" si="1"/>
        <v>0.0019520472548097047</v>
      </c>
      <c r="AR56" s="323">
        <f t="shared" si="2"/>
        <v>0.001952004911856875</v>
      </c>
      <c r="AS56" s="235"/>
      <c r="AT56" s="239"/>
      <c r="AU56" s="239"/>
      <c r="AV56" s="239"/>
      <c r="AW56" s="239"/>
      <c r="AX56" s="239"/>
      <c r="AY56" s="239"/>
      <c r="AZ56" s="239"/>
      <c r="BA56" s="239"/>
      <c r="BB56" s="319">
        <f t="shared" si="24"/>
        <v>1</v>
      </c>
      <c r="BC56" s="69">
        <f t="shared" si="39"/>
        <v>135</v>
      </c>
      <c r="BD56" s="320">
        <f t="shared" si="25"/>
        <v>134.9960956381234</v>
      </c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CA56" s="162">
        <f t="shared" si="46"/>
        <v>1</v>
      </c>
      <c r="CB56" s="162">
        <f t="shared" si="47"/>
        <v>0</v>
      </c>
      <c r="CC56" s="162">
        <f t="shared" si="48"/>
        <v>0</v>
      </c>
      <c r="CD56" s="162">
        <f t="shared" si="49"/>
        <v>0</v>
      </c>
      <c r="CE56" s="162">
        <f t="shared" si="50"/>
        <v>0</v>
      </c>
      <c r="CF56" s="162">
        <f t="shared" si="51"/>
        <v>0</v>
      </c>
      <c r="CG56" s="162">
        <f t="shared" si="52"/>
        <v>0</v>
      </c>
      <c r="CH56" s="162">
        <f t="shared" si="53"/>
        <v>1</v>
      </c>
      <c r="CI56" s="162">
        <f t="shared" si="54"/>
        <v>0</v>
      </c>
      <c r="CJ56" s="162">
        <f t="shared" si="55"/>
        <v>0</v>
      </c>
      <c r="CK56" s="162">
        <f t="shared" si="56"/>
        <v>0</v>
      </c>
      <c r="CL56" s="162">
        <f t="shared" si="57"/>
        <v>1</v>
      </c>
      <c r="CM56" s="162">
        <f t="shared" si="58"/>
        <v>0</v>
      </c>
      <c r="CN56" s="162">
        <f t="shared" si="40"/>
        <v>0</v>
      </c>
      <c r="CO56" s="162">
        <f t="shared" si="59"/>
        <v>1</v>
      </c>
      <c r="CP56" s="163">
        <f t="shared" si="42"/>
        <v>134.9960956381234</v>
      </c>
      <c r="CQ56" s="164"/>
      <c r="CR56" s="164"/>
      <c r="CS56" s="164"/>
      <c r="CT56" s="164"/>
      <c r="CU56" s="164"/>
      <c r="CV56" s="164"/>
      <c r="CW56" s="165">
        <f t="shared" si="30"/>
        <v>0</v>
      </c>
      <c r="CX56" s="165">
        <f t="shared" si="31"/>
        <v>376.47922508222666</v>
      </c>
      <c r="CY56" s="162">
        <f t="shared" si="32"/>
        <v>1</v>
      </c>
      <c r="CZ56" s="164"/>
    </row>
    <row r="57" spans="1:104" ht="12.75">
      <c r="A57" s="239"/>
      <c r="B57" s="166">
        <v>1</v>
      </c>
      <c r="C57" s="114">
        <v>1</v>
      </c>
      <c r="D57" s="233">
        <f t="shared" si="13"/>
        <v>361</v>
      </c>
      <c r="E57" s="157">
        <v>1</v>
      </c>
      <c r="F57" s="157">
        <v>0</v>
      </c>
      <c r="G57" s="464">
        <f t="shared" si="35"/>
        <v>13.386159594951975</v>
      </c>
      <c r="H57" s="195">
        <f t="shared" si="36"/>
        <v>0.001951655694617571</v>
      </c>
      <c r="I57" s="71">
        <f t="shared" si="33"/>
        <v>-0.001951655694617571</v>
      </c>
      <c r="J57" s="71">
        <f t="shared" si="14"/>
        <v>-0.005856074031725528</v>
      </c>
      <c r="K57" s="73">
        <f t="shared" si="43"/>
        <v>134.99414405297978</v>
      </c>
      <c r="L57" s="73">
        <f t="shared" si="16"/>
        <v>-0.0019515851436153753</v>
      </c>
      <c r="M57" s="71">
        <f t="shared" si="17"/>
        <v>0.0019515851436153753</v>
      </c>
      <c r="N57" s="71">
        <f t="shared" si="37"/>
        <v>7.055100219571092E-08</v>
      </c>
      <c r="O57" s="167">
        <f t="shared" si="18"/>
        <v>0</v>
      </c>
      <c r="P57" s="112"/>
      <c r="Q57" s="124">
        <f t="shared" si="38"/>
        <v>-23.314409916663173</v>
      </c>
      <c r="R57" s="124">
        <f t="shared" si="19"/>
        <v>100.39619696213981</v>
      </c>
      <c r="S57" s="124">
        <f t="shared" si="20"/>
        <v>13.386159594951975</v>
      </c>
      <c r="U57" s="203"/>
      <c r="V57" s="203"/>
      <c r="W57" s="203"/>
      <c r="X57" s="204"/>
      <c r="Y57" s="69"/>
      <c r="Z57" s="69"/>
      <c r="AA57" s="319">
        <f t="shared" si="21"/>
        <v>1</v>
      </c>
      <c r="AB57" s="69">
        <f t="shared" si="44"/>
        <v>-7.055100219571092E-08</v>
      </c>
      <c r="AC57" s="320">
        <f t="shared" si="45"/>
        <v>0</v>
      </c>
      <c r="AD57" s="69"/>
      <c r="AE57" s="244"/>
      <c r="AF57" s="239"/>
      <c r="AG57" s="239"/>
      <c r="AH57" s="239"/>
      <c r="AI57" s="244"/>
      <c r="AJ57" s="244"/>
      <c r="AK57" s="244"/>
      <c r="AL57" s="244"/>
      <c r="AM57" s="244"/>
      <c r="AN57" s="244"/>
      <c r="AO57" s="321">
        <f t="shared" si="22"/>
        <v>1</v>
      </c>
      <c r="AP57" s="73">
        <f t="shared" si="23"/>
        <v>0</v>
      </c>
      <c r="AQ57" s="322">
        <f t="shared" si="1"/>
        <v>0.001951655694617571</v>
      </c>
      <c r="AR57" s="323">
        <f t="shared" si="2"/>
        <v>0.0019515851436153753</v>
      </c>
      <c r="AS57" s="235"/>
      <c r="AT57" s="239"/>
      <c r="AU57" s="239"/>
      <c r="AV57" s="239"/>
      <c r="AW57" s="239"/>
      <c r="AX57" s="239"/>
      <c r="AY57" s="239"/>
      <c r="AZ57" s="239"/>
      <c r="BA57" s="239"/>
      <c r="BB57" s="319">
        <f t="shared" si="24"/>
        <v>1</v>
      </c>
      <c r="BC57" s="69">
        <f t="shared" si="39"/>
        <v>135</v>
      </c>
      <c r="BD57" s="320">
        <f t="shared" si="25"/>
        <v>134.99414405297978</v>
      </c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CA57" s="162">
        <f t="shared" si="46"/>
        <v>1</v>
      </c>
      <c r="CB57" s="162">
        <f t="shared" si="47"/>
        <v>0</v>
      </c>
      <c r="CC57" s="162">
        <f t="shared" si="48"/>
        <v>0</v>
      </c>
      <c r="CD57" s="162">
        <f t="shared" si="49"/>
        <v>0</v>
      </c>
      <c r="CE57" s="162">
        <f t="shared" si="50"/>
        <v>0</v>
      </c>
      <c r="CF57" s="162">
        <f t="shared" si="51"/>
        <v>0</v>
      </c>
      <c r="CG57" s="162">
        <f t="shared" si="52"/>
        <v>0</v>
      </c>
      <c r="CH57" s="162">
        <f t="shared" si="53"/>
        <v>0</v>
      </c>
      <c r="CI57" s="162">
        <f t="shared" si="54"/>
        <v>1</v>
      </c>
      <c r="CJ57" s="162">
        <f t="shared" si="55"/>
        <v>0</v>
      </c>
      <c r="CK57" s="162">
        <f t="shared" si="56"/>
        <v>0</v>
      </c>
      <c r="CL57" s="162">
        <f t="shared" si="57"/>
        <v>0</v>
      </c>
      <c r="CM57" s="162">
        <f t="shared" si="58"/>
        <v>0</v>
      </c>
      <c r="CN57" s="162">
        <f t="shared" si="40"/>
        <v>0</v>
      </c>
      <c r="CO57" s="162">
        <f t="shared" si="59"/>
        <v>1</v>
      </c>
      <c r="CP57" s="163">
        <f t="shared" si="42"/>
        <v>134.99414405297978</v>
      </c>
      <c r="CQ57" s="164"/>
      <c r="CR57" s="164"/>
      <c r="CS57" s="164"/>
      <c r="CT57" s="164"/>
      <c r="CU57" s="164"/>
      <c r="CV57" s="164"/>
      <c r="CW57" s="165">
        <f t="shared" si="30"/>
        <v>0</v>
      </c>
      <c r="CX57" s="165">
        <f t="shared" si="31"/>
        <v>376.47922508222666</v>
      </c>
      <c r="CY57" s="162">
        <f t="shared" si="32"/>
        <v>1</v>
      </c>
      <c r="CZ57" s="164"/>
    </row>
    <row r="58" spans="1:104" ht="12.75">
      <c r="A58" s="239"/>
      <c r="B58" s="166">
        <v>1</v>
      </c>
      <c r="C58" s="114">
        <v>1</v>
      </c>
      <c r="D58" s="233">
        <f t="shared" si="13"/>
        <v>362</v>
      </c>
      <c r="E58" s="157">
        <v>1</v>
      </c>
      <c r="F58" s="157">
        <v>0</v>
      </c>
      <c r="G58" s="464">
        <f t="shared" si="35"/>
        <v>13.383011082888515</v>
      </c>
      <c r="H58" s="195">
        <f t="shared" si="36"/>
        <v>0.0019511966524662623</v>
      </c>
      <c r="I58" s="71">
        <f t="shared" si="33"/>
        <v>-0.0019511966524662623</v>
      </c>
      <c r="J58" s="71">
        <f t="shared" si="14"/>
        <v>-0.00780727068419179</v>
      </c>
      <c r="K58" s="73">
        <f t="shared" si="43"/>
        <v>134.99219295506506</v>
      </c>
      <c r="L58" s="73">
        <f t="shared" si="16"/>
        <v>-0.0019510979147128182</v>
      </c>
      <c r="M58" s="71">
        <f t="shared" si="17"/>
        <v>0.0019510979147128182</v>
      </c>
      <c r="N58" s="71">
        <f t="shared" si="37"/>
        <v>9.873775344408121E-08</v>
      </c>
      <c r="O58" s="167">
        <f t="shared" si="18"/>
        <v>0</v>
      </c>
      <c r="P58" s="112"/>
      <c r="Q58" s="124">
        <f t="shared" si="38"/>
        <v>-23.267610810850513</v>
      </c>
      <c r="R58" s="124">
        <f t="shared" si="19"/>
        <v>100.37258312166387</v>
      </c>
      <c r="S58" s="124">
        <f t="shared" si="20"/>
        <v>13.383011082888515</v>
      </c>
      <c r="U58" s="203"/>
      <c r="V58" s="203"/>
      <c r="W58" s="203"/>
      <c r="X58" s="204"/>
      <c r="Y58" s="69"/>
      <c r="Z58" s="69"/>
      <c r="AA58" s="319">
        <f t="shared" si="21"/>
        <v>1</v>
      </c>
      <c r="AB58" s="69">
        <f t="shared" si="44"/>
        <v>-9.873775344408121E-08</v>
      </c>
      <c r="AC58" s="320">
        <f t="shared" si="45"/>
        <v>0</v>
      </c>
      <c r="AD58" s="69"/>
      <c r="AE58" s="244"/>
      <c r="AF58" s="239"/>
      <c r="AG58" s="239"/>
      <c r="AH58" s="239"/>
      <c r="AI58" s="244"/>
      <c r="AJ58" s="244"/>
      <c r="AK58" s="244"/>
      <c r="AL58" s="244"/>
      <c r="AM58" s="244"/>
      <c r="AN58" s="244"/>
      <c r="AO58" s="321">
        <f t="shared" si="22"/>
        <v>1</v>
      </c>
      <c r="AP58" s="73">
        <f t="shared" si="23"/>
        <v>0</v>
      </c>
      <c r="AQ58" s="322">
        <f t="shared" si="1"/>
        <v>0.0019511966524662623</v>
      </c>
      <c r="AR58" s="323">
        <f t="shared" si="2"/>
        <v>0.0019510979147128182</v>
      </c>
      <c r="AS58" s="235"/>
      <c r="AT58" s="239"/>
      <c r="AU58" s="239"/>
      <c r="AV58" s="239"/>
      <c r="AW58" s="239"/>
      <c r="AX58" s="239"/>
      <c r="AY58" s="239"/>
      <c r="AZ58" s="239"/>
      <c r="BA58" s="239"/>
      <c r="BB58" s="319">
        <f t="shared" si="24"/>
        <v>1</v>
      </c>
      <c r="BC58" s="69">
        <f t="shared" si="39"/>
        <v>135</v>
      </c>
      <c r="BD58" s="320">
        <f t="shared" si="25"/>
        <v>134.99219295506506</v>
      </c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CA58" s="162">
        <f t="shared" si="46"/>
        <v>1</v>
      </c>
      <c r="CB58" s="162">
        <f t="shared" si="47"/>
        <v>0</v>
      </c>
      <c r="CC58" s="162">
        <f t="shared" si="48"/>
        <v>0</v>
      </c>
      <c r="CD58" s="162">
        <f t="shared" si="49"/>
        <v>0</v>
      </c>
      <c r="CE58" s="162">
        <f t="shared" si="50"/>
        <v>0</v>
      </c>
      <c r="CF58" s="162">
        <f t="shared" si="51"/>
        <v>0</v>
      </c>
      <c r="CG58" s="162">
        <f t="shared" si="52"/>
        <v>0</v>
      </c>
      <c r="CH58" s="162">
        <f t="shared" si="53"/>
        <v>0</v>
      </c>
      <c r="CI58" s="162">
        <f t="shared" si="54"/>
        <v>0</v>
      </c>
      <c r="CJ58" s="162">
        <f t="shared" si="55"/>
        <v>1</v>
      </c>
      <c r="CK58" s="162">
        <f t="shared" si="56"/>
        <v>0</v>
      </c>
      <c r="CL58" s="162">
        <f t="shared" si="57"/>
        <v>0</v>
      </c>
      <c r="CM58" s="162">
        <f t="shared" si="58"/>
        <v>0</v>
      </c>
      <c r="CN58" s="162">
        <f t="shared" si="40"/>
        <v>0</v>
      </c>
      <c r="CO58" s="162">
        <f t="shared" si="59"/>
        <v>1</v>
      </c>
      <c r="CP58" s="163">
        <f t="shared" si="42"/>
        <v>134.99219295506506</v>
      </c>
      <c r="CQ58" s="164"/>
      <c r="CR58" s="164"/>
      <c r="CS58" s="164"/>
      <c r="CT58" s="164"/>
      <c r="CU58" s="164"/>
      <c r="CV58" s="164"/>
      <c r="CW58" s="165">
        <f t="shared" si="30"/>
        <v>0</v>
      </c>
      <c r="CX58" s="165">
        <f t="shared" si="31"/>
        <v>376.47922508222666</v>
      </c>
      <c r="CY58" s="162">
        <f t="shared" si="32"/>
        <v>1</v>
      </c>
      <c r="CZ58" s="164"/>
    </row>
    <row r="59" spans="1:104" ht="12.75">
      <c r="A59" s="239"/>
      <c r="B59" s="166">
        <v>1</v>
      </c>
      <c r="C59" s="114">
        <v>1</v>
      </c>
      <c r="D59" s="233">
        <f t="shared" si="13"/>
        <v>363</v>
      </c>
      <c r="E59" s="157">
        <v>1</v>
      </c>
      <c r="F59" s="157">
        <v>0</v>
      </c>
      <c r="G59" s="464">
        <f t="shared" si="35"/>
        <v>13.379401730382229</v>
      </c>
      <c r="H59" s="195">
        <f t="shared" si="36"/>
        <v>0.001950670421374902</v>
      </c>
      <c r="I59" s="71">
        <f t="shared" si="33"/>
        <v>-0.001950670421374902</v>
      </c>
      <c r="J59" s="71">
        <f t="shared" si="14"/>
        <v>-0.009757941105566692</v>
      </c>
      <c r="K59" s="73">
        <f t="shared" si="43"/>
        <v>134.99024241154302</v>
      </c>
      <c r="L59" s="73">
        <f t="shared" si="16"/>
        <v>-0.0019505435220423806</v>
      </c>
      <c r="M59" s="71">
        <f t="shared" si="17"/>
        <v>0.0019505435220423806</v>
      </c>
      <c r="N59" s="71">
        <f t="shared" si="37"/>
        <v>1.2689933252146325E-07</v>
      </c>
      <c r="O59" s="167">
        <f t="shared" si="18"/>
        <v>0</v>
      </c>
      <c r="P59" s="112"/>
      <c r="Q59" s="124">
        <f t="shared" si="38"/>
        <v>-23.21391700979843</v>
      </c>
      <c r="R59" s="124">
        <f t="shared" si="19"/>
        <v>100.34551297786672</v>
      </c>
      <c r="S59" s="124">
        <f t="shared" si="20"/>
        <v>13.379401730382229</v>
      </c>
      <c r="U59" s="203"/>
      <c r="V59" s="203"/>
      <c r="W59" s="203"/>
      <c r="X59" s="204"/>
      <c r="Y59" s="69"/>
      <c r="Z59" s="69"/>
      <c r="AA59" s="319">
        <f t="shared" si="21"/>
        <v>1</v>
      </c>
      <c r="AB59" s="69">
        <f t="shared" si="44"/>
        <v>-1.2689933252146325E-07</v>
      </c>
      <c r="AC59" s="320">
        <f t="shared" si="45"/>
        <v>0</v>
      </c>
      <c r="AD59" s="69"/>
      <c r="AE59" s="244"/>
      <c r="AF59" s="239"/>
      <c r="AG59" s="239"/>
      <c r="AH59" s="239"/>
      <c r="AI59" s="244"/>
      <c r="AJ59" s="244"/>
      <c r="AK59" s="244"/>
      <c r="AL59" s="244"/>
      <c r="AM59" s="244"/>
      <c r="AN59" s="244"/>
      <c r="AO59" s="321">
        <f t="shared" si="22"/>
        <v>1</v>
      </c>
      <c r="AP59" s="73">
        <f t="shared" si="23"/>
        <v>0</v>
      </c>
      <c r="AQ59" s="322">
        <f t="shared" si="1"/>
        <v>0.001950670421374902</v>
      </c>
      <c r="AR59" s="323">
        <f t="shared" si="2"/>
        <v>0.0019505435220423806</v>
      </c>
      <c r="AS59" s="235"/>
      <c r="AT59" s="239"/>
      <c r="AU59" s="239"/>
      <c r="AV59" s="239"/>
      <c r="AW59" s="239"/>
      <c r="AX59" s="239"/>
      <c r="AY59" s="239"/>
      <c r="AZ59" s="239"/>
      <c r="BA59" s="239"/>
      <c r="BB59" s="319">
        <f t="shared" si="24"/>
        <v>1</v>
      </c>
      <c r="BC59" s="69">
        <f t="shared" si="39"/>
        <v>135</v>
      </c>
      <c r="BD59" s="320">
        <f t="shared" si="25"/>
        <v>134.99024241154302</v>
      </c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CA59" s="162">
        <f t="shared" si="46"/>
        <v>1</v>
      </c>
      <c r="CB59" s="162">
        <f t="shared" si="47"/>
        <v>0</v>
      </c>
      <c r="CC59" s="162">
        <f t="shared" si="48"/>
        <v>0</v>
      </c>
      <c r="CD59" s="162">
        <f t="shared" si="49"/>
        <v>0</v>
      </c>
      <c r="CE59" s="162">
        <f t="shared" si="50"/>
        <v>0</v>
      </c>
      <c r="CF59" s="162">
        <f t="shared" si="51"/>
        <v>0</v>
      </c>
      <c r="CG59" s="162">
        <f t="shared" si="52"/>
        <v>0</v>
      </c>
      <c r="CH59" s="162">
        <f t="shared" si="53"/>
        <v>0</v>
      </c>
      <c r="CI59" s="162">
        <f t="shared" si="54"/>
        <v>0</v>
      </c>
      <c r="CJ59" s="162">
        <f t="shared" si="55"/>
        <v>0</v>
      </c>
      <c r="CK59" s="162">
        <f t="shared" si="56"/>
        <v>1</v>
      </c>
      <c r="CL59" s="162">
        <f t="shared" si="57"/>
        <v>0</v>
      </c>
      <c r="CM59" s="162">
        <f t="shared" si="58"/>
        <v>0</v>
      </c>
      <c r="CN59" s="162">
        <f t="shared" si="40"/>
        <v>0</v>
      </c>
      <c r="CO59" s="162">
        <f t="shared" si="59"/>
        <v>1</v>
      </c>
      <c r="CP59" s="163">
        <f t="shared" si="42"/>
        <v>134.99024241154302</v>
      </c>
      <c r="CQ59" s="164"/>
      <c r="CR59" s="164"/>
      <c r="CS59" s="164"/>
      <c r="CT59" s="164"/>
      <c r="CU59" s="164"/>
      <c r="CV59" s="164"/>
      <c r="CW59" s="165">
        <f t="shared" si="30"/>
        <v>0</v>
      </c>
      <c r="CX59" s="165">
        <f t="shared" si="31"/>
        <v>376.47922508222666</v>
      </c>
      <c r="CY59" s="162">
        <f t="shared" si="32"/>
        <v>1</v>
      </c>
      <c r="CZ59" s="164"/>
    </row>
    <row r="60" spans="1:104" ht="12.75">
      <c r="A60" s="239"/>
      <c r="B60" s="166">
        <v>1</v>
      </c>
      <c r="C60" s="114">
        <v>1</v>
      </c>
      <c r="D60" s="233">
        <f t="shared" si="13"/>
        <v>364</v>
      </c>
      <c r="E60" s="157">
        <v>1</v>
      </c>
      <c r="F60" s="157">
        <v>0</v>
      </c>
      <c r="G60" s="464">
        <f t="shared" si="35"/>
        <v>13.37533383285493</v>
      </c>
      <c r="H60" s="195">
        <f t="shared" si="36"/>
        <v>0.001950077336008038</v>
      </c>
      <c r="I60" s="71">
        <f t="shared" si="33"/>
        <v>-0.001950077336008038</v>
      </c>
      <c r="J60" s="71">
        <f t="shared" si="14"/>
        <v>-0.011708018441574729</v>
      </c>
      <c r="K60" s="73">
        <f t="shared" si="43"/>
        <v>134.98829248923892</v>
      </c>
      <c r="L60" s="73">
        <f t="shared" si="16"/>
        <v>-0.0019499223041066216</v>
      </c>
      <c r="M60" s="71">
        <f t="shared" si="17"/>
        <v>0.0019499223041066216</v>
      </c>
      <c r="N60" s="71">
        <f t="shared" si="37"/>
        <v>1.550319014163512E-07</v>
      </c>
      <c r="O60" s="167">
        <f t="shared" si="18"/>
        <v>0</v>
      </c>
      <c r="P60" s="112"/>
      <c r="Q60" s="124">
        <f t="shared" si="38"/>
        <v>-23.153344424138982</v>
      </c>
      <c r="R60" s="124">
        <f t="shared" si="19"/>
        <v>100.31500374641197</v>
      </c>
      <c r="S60" s="124">
        <f t="shared" si="20"/>
        <v>13.37533383285493</v>
      </c>
      <c r="U60" s="203"/>
      <c r="V60" s="203"/>
      <c r="W60" s="203"/>
      <c r="X60" s="204"/>
      <c r="Y60" s="69"/>
      <c r="Z60" s="69"/>
      <c r="AA60" s="319">
        <f t="shared" si="21"/>
        <v>1</v>
      </c>
      <c r="AB60" s="69">
        <f t="shared" si="44"/>
        <v>-1.550319014163512E-07</v>
      </c>
      <c r="AC60" s="320">
        <f t="shared" si="45"/>
        <v>0</v>
      </c>
      <c r="AD60" s="69"/>
      <c r="AE60" s="244"/>
      <c r="AF60" s="239"/>
      <c r="AG60" s="239"/>
      <c r="AH60" s="239"/>
      <c r="AI60" s="244"/>
      <c r="AJ60" s="244"/>
      <c r="AK60" s="244"/>
      <c r="AL60" s="244"/>
      <c r="AM60" s="244"/>
      <c r="AN60" s="244"/>
      <c r="AO60" s="321">
        <f t="shared" si="22"/>
        <v>1</v>
      </c>
      <c r="AP60" s="73">
        <f t="shared" si="23"/>
        <v>0</v>
      </c>
      <c r="AQ60" s="322">
        <f t="shared" si="1"/>
        <v>0.001950077336008038</v>
      </c>
      <c r="AR60" s="323">
        <f t="shared" si="2"/>
        <v>0.0019499223041066216</v>
      </c>
      <c r="AS60" s="235"/>
      <c r="AT60" s="239"/>
      <c r="AU60" s="239"/>
      <c r="AV60" s="239"/>
      <c r="AW60" s="239"/>
      <c r="AX60" s="239"/>
      <c r="AY60" s="239"/>
      <c r="AZ60" s="239"/>
      <c r="BA60" s="239"/>
      <c r="BB60" s="319">
        <f t="shared" si="24"/>
        <v>1</v>
      </c>
      <c r="BC60" s="69">
        <f t="shared" si="39"/>
        <v>135</v>
      </c>
      <c r="BD60" s="320">
        <f t="shared" si="25"/>
        <v>134.98829248923892</v>
      </c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CA60" s="162">
        <f t="shared" si="46"/>
        <v>1</v>
      </c>
      <c r="CB60" s="162">
        <f t="shared" si="47"/>
        <v>0</v>
      </c>
      <c r="CC60" s="162">
        <f t="shared" si="48"/>
        <v>0</v>
      </c>
      <c r="CD60" s="162">
        <f t="shared" si="49"/>
        <v>0</v>
      </c>
      <c r="CE60" s="162">
        <f t="shared" si="50"/>
        <v>0</v>
      </c>
      <c r="CF60" s="162">
        <f t="shared" si="51"/>
        <v>0</v>
      </c>
      <c r="CG60" s="162">
        <f t="shared" si="52"/>
        <v>0</v>
      </c>
      <c r="CH60" s="162">
        <f t="shared" si="53"/>
        <v>0</v>
      </c>
      <c r="CI60" s="162">
        <f t="shared" si="54"/>
        <v>0</v>
      </c>
      <c r="CJ60" s="162">
        <f t="shared" si="55"/>
        <v>0</v>
      </c>
      <c r="CK60" s="162">
        <f t="shared" si="56"/>
        <v>0</v>
      </c>
      <c r="CL60" s="162">
        <f t="shared" si="57"/>
        <v>1</v>
      </c>
      <c r="CM60" s="162">
        <f t="shared" si="58"/>
        <v>0</v>
      </c>
      <c r="CN60" s="162">
        <f t="shared" si="40"/>
        <v>0</v>
      </c>
      <c r="CO60" s="162">
        <f t="shared" si="59"/>
        <v>1</v>
      </c>
      <c r="CP60" s="163">
        <f t="shared" si="42"/>
        <v>134.98829248923892</v>
      </c>
      <c r="CQ60" s="164"/>
      <c r="CR60" s="164"/>
      <c r="CS60" s="164"/>
      <c r="CT60" s="164"/>
      <c r="CU60" s="164"/>
      <c r="CV60" s="164"/>
      <c r="CW60" s="165">
        <f t="shared" si="30"/>
        <v>0</v>
      </c>
      <c r="CX60" s="165">
        <f t="shared" si="31"/>
        <v>376.47922508222666</v>
      </c>
      <c r="CY60" s="162">
        <f t="shared" si="32"/>
        <v>1</v>
      </c>
      <c r="CZ60" s="164"/>
    </row>
    <row r="61" spans="1:104" ht="12.75">
      <c r="A61" s="239"/>
      <c r="B61" s="166">
        <v>1</v>
      </c>
      <c r="C61" s="114">
        <v>1</v>
      </c>
      <c r="D61" s="233">
        <f t="shared" si="13"/>
        <v>365</v>
      </c>
      <c r="E61" s="157">
        <v>1</v>
      </c>
      <c r="F61" s="157">
        <v>0</v>
      </c>
      <c r="G61" s="464">
        <f t="shared" si="35"/>
        <v>13.37080996646632</v>
      </c>
      <c r="H61" s="195">
        <f t="shared" si="36"/>
        <v>0.00194941777196083</v>
      </c>
      <c r="I61" s="71">
        <f t="shared" si="33"/>
        <v>-0.00194941777196083</v>
      </c>
      <c r="J61" s="71">
        <f t="shared" si="14"/>
        <v>-0.01365743621353556</v>
      </c>
      <c r="K61" s="73">
        <f t="shared" si="43"/>
        <v>134.98634325459858</v>
      </c>
      <c r="L61" s="73">
        <f t="shared" si="16"/>
        <v>-0.0019492346403353622</v>
      </c>
      <c r="M61" s="71">
        <f t="shared" si="17"/>
        <v>0.0019492346403353622</v>
      </c>
      <c r="N61" s="71">
        <f t="shared" si="37"/>
        <v>1.8313162546785763E-07</v>
      </c>
      <c r="O61" s="167">
        <f t="shared" si="18"/>
        <v>0</v>
      </c>
      <c r="P61" s="112"/>
      <c r="Q61" s="124">
        <f t="shared" si="38"/>
        <v>-23.085911002836564</v>
      </c>
      <c r="R61" s="124">
        <f t="shared" si="19"/>
        <v>100.2810747484974</v>
      </c>
      <c r="S61" s="124">
        <f t="shared" si="20"/>
        <v>13.37080996646632</v>
      </c>
      <c r="U61" s="203"/>
      <c r="V61" s="203"/>
      <c r="W61" s="203"/>
      <c r="X61" s="204"/>
      <c r="Y61" s="69"/>
      <c r="Z61" s="69"/>
      <c r="AA61" s="319">
        <f t="shared" si="21"/>
        <v>1</v>
      </c>
      <c r="AB61" s="69">
        <f t="shared" si="44"/>
        <v>-1.8313162546785763E-07</v>
      </c>
      <c r="AC61" s="320">
        <f t="shared" si="45"/>
        <v>0</v>
      </c>
      <c r="AD61" s="69"/>
      <c r="AE61" s="244"/>
      <c r="AF61" s="239"/>
      <c r="AG61" s="239"/>
      <c r="AH61" s="239"/>
      <c r="AI61" s="244"/>
      <c r="AJ61" s="244"/>
      <c r="AK61" s="244"/>
      <c r="AL61" s="244"/>
      <c r="AM61" s="244"/>
      <c r="AN61" s="244"/>
      <c r="AO61" s="321">
        <f t="shared" si="22"/>
        <v>1</v>
      </c>
      <c r="AP61" s="73">
        <f t="shared" si="23"/>
        <v>0</v>
      </c>
      <c r="AQ61" s="322">
        <f t="shared" si="1"/>
        <v>0.00194941777196083</v>
      </c>
      <c r="AR61" s="323">
        <f t="shared" si="2"/>
        <v>0.0019492346403353622</v>
      </c>
      <c r="AS61" s="235"/>
      <c r="AT61" s="239"/>
      <c r="AU61" s="239"/>
      <c r="AV61" s="239"/>
      <c r="AW61" s="239"/>
      <c r="AX61" s="239"/>
      <c r="AY61" s="239"/>
      <c r="AZ61" s="239"/>
      <c r="BA61" s="239"/>
      <c r="BB61" s="319">
        <f t="shared" si="24"/>
        <v>1</v>
      </c>
      <c r="BC61" s="69">
        <f t="shared" si="39"/>
        <v>135</v>
      </c>
      <c r="BD61" s="320">
        <f t="shared" si="25"/>
        <v>134.98634325459858</v>
      </c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CA61" s="162">
        <f t="shared" si="46"/>
        <v>1</v>
      </c>
      <c r="CB61" s="162">
        <f t="shared" si="47"/>
        <v>0</v>
      </c>
      <c r="CC61" s="162">
        <f t="shared" si="48"/>
        <v>0</v>
      </c>
      <c r="CD61" s="162">
        <f t="shared" si="49"/>
        <v>0</v>
      </c>
      <c r="CE61" s="162">
        <f t="shared" si="50"/>
        <v>0</v>
      </c>
      <c r="CF61" s="162">
        <f t="shared" si="51"/>
        <v>0</v>
      </c>
      <c r="CG61" s="162">
        <f t="shared" si="52"/>
        <v>0</v>
      </c>
      <c r="CH61" s="162">
        <f t="shared" si="53"/>
        <v>0</v>
      </c>
      <c r="CI61" s="162">
        <f t="shared" si="54"/>
        <v>0</v>
      </c>
      <c r="CJ61" s="162">
        <f t="shared" si="55"/>
        <v>0</v>
      </c>
      <c r="CK61" s="162">
        <f t="shared" si="56"/>
        <v>0</v>
      </c>
      <c r="CL61" s="162">
        <f t="shared" si="57"/>
        <v>0</v>
      </c>
      <c r="CM61" s="162">
        <f t="shared" si="58"/>
        <v>0</v>
      </c>
      <c r="CN61" s="162">
        <f t="shared" si="40"/>
        <v>0</v>
      </c>
      <c r="CO61" s="162">
        <f t="shared" si="59"/>
        <v>1</v>
      </c>
      <c r="CP61" s="163">
        <f t="shared" si="42"/>
        <v>134.98634325459858</v>
      </c>
      <c r="CQ61" s="164"/>
      <c r="CR61" s="164"/>
      <c r="CS61" s="164"/>
      <c r="CT61" s="164"/>
      <c r="CU61" s="164"/>
      <c r="CV61" s="164"/>
      <c r="CW61" s="165">
        <f t="shared" si="30"/>
        <v>0</v>
      </c>
      <c r="CX61" s="165">
        <f t="shared" si="31"/>
        <v>376.47922508222666</v>
      </c>
      <c r="CY61" s="162">
        <f t="shared" si="32"/>
        <v>1</v>
      </c>
      <c r="CZ61" s="164"/>
    </row>
    <row r="62" spans="1:104" ht="12.75">
      <c r="A62" s="239"/>
      <c r="B62" s="166">
        <v>1</v>
      </c>
      <c r="C62" s="114">
        <v>1</v>
      </c>
      <c r="D62" s="233">
        <f t="shared" si="13"/>
        <v>1</v>
      </c>
      <c r="E62" s="157">
        <v>1</v>
      </c>
      <c r="F62" s="157">
        <v>0</v>
      </c>
      <c r="G62" s="464">
        <f t="shared" si="35"/>
        <v>13.365832982645788</v>
      </c>
      <c r="H62" s="195">
        <f t="shared" si="36"/>
        <v>0.0019486921449618046</v>
      </c>
      <c r="I62" s="71">
        <f t="shared" si="33"/>
        <v>-0.0019486921449618046</v>
      </c>
      <c r="J62" s="71">
        <f t="shared" si="14"/>
        <v>-0.015606128358497364</v>
      </c>
      <c r="K62" s="73">
        <f t="shared" si="43"/>
        <v>134.98439477364838</v>
      </c>
      <c r="L62" s="73">
        <f t="shared" si="16"/>
        <v>-0.0019484809502046119</v>
      </c>
      <c r="M62" s="71">
        <f t="shared" si="17"/>
        <v>0.0019484809502046119</v>
      </c>
      <c r="N62" s="71">
        <f t="shared" si="37"/>
        <v>2.1119475719275603E-07</v>
      </c>
      <c r="O62" s="167">
        <f t="shared" si="18"/>
        <v>0</v>
      </c>
      <c r="P62" s="112"/>
      <c r="Q62" s="124">
        <f t="shared" si="38"/>
        <v>-23.011636727869238</v>
      </c>
      <c r="R62" s="124">
        <f t="shared" si="19"/>
        <v>100.2437473698434</v>
      </c>
      <c r="S62" s="124">
        <f t="shared" si="20"/>
        <v>13.365832982645788</v>
      </c>
      <c r="U62" s="203"/>
      <c r="V62" s="203"/>
      <c r="W62" s="203"/>
      <c r="X62" s="204"/>
      <c r="Y62" s="69"/>
      <c r="Z62" s="69"/>
      <c r="AA62" s="319">
        <f t="shared" si="21"/>
        <v>1</v>
      </c>
      <c r="AB62" s="69">
        <f t="shared" si="44"/>
        <v>-2.1119475719275603E-07</v>
      </c>
      <c r="AC62" s="320">
        <f t="shared" si="45"/>
        <v>0</v>
      </c>
      <c r="AD62" s="69"/>
      <c r="AE62" s="244"/>
      <c r="AF62" s="239"/>
      <c r="AG62" s="239"/>
      <c r="AH62" s="239"/>
      <c r="AI62" s="244"/>
      <c r="AJ62" s="244"/>
      <c r="AK62" s="244"/>
      <c r="AL62" s="244"/>
      <c r="AM62" s="244"/>
      <c r="AN62" s="244"/>
      <c r="AO62" s="321">
        <f t="shared" si="22"/>
        <v>1</v>
      </c>
      <c r="AP62" s="73">
        <f t="shared" si="23"/>
        <v>0</v>
      </c>
      <c r="AQ62" s="322">
        <f t="shared" si="1"/>
        <v>0.0019486921449618046</v>
      </c>
      <c r="AR62" s="323">
        <f t="shared" si="2"/>
        <v>0.0019484809502046119</v>
      </c>
      <c r="AS62" s="235"/>
      <c r="AT62" s="239"/>
      <c r="AU62" s="239"/>
      <c r="AV62" s="239"/>
      <c r="AW62" s="239"/>
      <c r="AX62" s="239"/>
      <c r="AY62" s="239"/>
      <c r="AZ62" s="239"/>
      <c r="BA62" s="239"/>
      <c r="BB62" s="319">
        <f t="shared" si="24"/>
        <v>1</v>
      </c>
      <c r="BC62" s="69">
        <f t="shared" si="39"/>
        <v>135</v>
      </c>
      <c r="BD62" s="320">
        <f t="shared" si="25"/>
        <v>134.98439477364838</v>
      </c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CA62" s="162">
        <f t="shared" si="46"/>
        <v>1</v>
      </c>
      <c r="CB62" s="162">
        <f t="shared" si="47"/>
        <v>0</v>
      </c>
      <c r="CC62" s="162">
        <f t="shared" si="48"/>
        <v>0</v>
      </c>
      <c r="CD62" s="162">
        <f t="shared" si="49"/>
        <v>0</v>
      </c>
      <c r="CE62" s="162">
        <f t="shared" si="50"/>
        <v>0</v>
      </c>
      <c r="CF62" s="162">
        <f t="shared" si="51"/>
        <v>0</v>
      </c>
      <c r="CG62" s="162">
        <f t="shared" si="52"/>
        <v>0</v>
      </c>
      <c r="CH62" s="162">
        <f t="shared" si="53"/>
        <v>0</v>
      </c>
      <c r="CI62" s="162">
        <f t="shared" si="54"/>
        <v>0</v>
      </c>
      <c r="CJ62" s="162">
        <f t="shared" si="55"/>
        <v>0</v>
      </c>
      <c r="CK62" s="162">
        <f t="shared" si="56"/>
        <v>0</v>
      </c>
      <c r="CL62" s="162">
        <f t="shared" si="57"/>
        <v>0</v>
      </c>
      <c r="CM62" s="162">
        <f t="shared" si="58"/>
        <v>0</v>
      </c>
      <c r="CN62" s="162">
        <f t="shared" si="40"/>
        <v>0</v>
      </c>
      <c r="CO62" s="162">
        <f t="shared" si="59"/>
        <v>1</v>
      </c>
      <c r="CP62" s="163">
        <f t="shared" si="42"/>
        <v>134.98439477364838</v>
      </c>
      <c r="CQ62" s="164"/>
      <c r="CR62" s="164"/>
      <c r="CS62" s="164"/>
      <c r="CT62" s="164"/>
      <c r="CU62" s="164"/>
      <c r="CV62" s="164"/>
      <c r="CW62" s="165">
        <f t="shared" si="30"/>
        <v>0</v>
      </c>
      <c r="CX62" s="165">
        <f t="shared" si="31"/>
        <v>376.47922508222666</v>
      </c>
      <c r="CY62" s="162">
        <f t="shared" si="32"/>
        <v>1</v>
      </c>
      <c r="CZ62" s="164"/>
    </row>
    <row r="63" spans="1:104" ht="12.75">
      <c r="A63" s="239"/>
      <c r="B63" s="166">
        <v>1</v>
      </c>
      <c r="C63" s="114">
        <v>1</v>
      </c>
      <c r="D63" s="233">
        <f t="shared" si="13"/>
        <v>2</v>
      </c>
      <c r="E63" s="157">
        <v>1</v>
      </c>
      <c r="F63" s="157">
        <v>0</v>
      </c>
      <c r="G63" s="464">
        <f t="shared" si="35"/>
        <v>13.360406002082119</v>
      </c>
      <c r="H63" s="195">
        <f t="shared" si="36"/>
        <v>0.0019479009099965753</v>
      </c>
      <c r="I63" s="71">
        <f t="shared" si="33"/>
        <v>-0.0019479009099965753</v>
      </c>
      <c r="J63" s="71">
        <f t="shared" si="14"/>
        <v>-0.01755402926849394</v>
      </c>
      <c r="K63" s="73">
        <f t="shared" si="43"/>
        <v>134.9824471119559</v>
      </c>
      <c r="L63" s="73">
        <f t="shared" si="16"/>
        <v>-0.0019476616924691825</v>
      </c>
      <c r="M63" s="71">
        <f t="shared" si="17"/>
        <v>0.0019476616924691825</v>
      </c>
      <c r="N63" s="71">
        <f t="shared" si="37"/>
        <v>2.3921752739276825E-07</v>
      </c>
      <c r="O63" s="167">
        <f t="shared" si="18"/>
        <v>0</v>
      </c>
      <c r="P63" s="112"/>
      <c r="Q63" s="124">
        <f t="shared" si="38"/>
        <v>-22.93054360830765</v>
      </c>
      <c r="R63" s="124">
        <f t="shared" si="19"/>
        <v>100.20304501561588</v>
      </c>
      <c r="S63" s="124">
        <f t="shared" si="20"/>
        <v>13.360406002082119</v>
      </c>
      <c r="U63" s="203"/>
      <c r="V63" s="203"/>
      <c r="W63" s="203"/>
      <c r="X63" s="204"/>
      <c r="Y63" s="69"/>
      <c r="Z63" s="69"/>
      <c r="AA63" s="319">
        <f t="shared" si="21"/>
        <v>1</v>
      </c>
      <c r="AB63" s="69">
        <f t="shared" si="44"/>
        <v>-2.3921752739276825E-07</v>
      </c>
      <c r="AC63" s="320">
        <f t="shared" si="45"/>
        <v>0</v>
      </c>
      <c r="AD63" s="69"/>
      <c r="AE63" s="244"/>
      <c r="AF63" s="239"/>
      <c r="AG63" s="239"/>
      <c r="AH63" s="239"/>
      <c r="AI63" s="244"/>
      <c r="AJ63" s="244"/>
      <c r="AK63" s="244"/>
      <c r="AL63" s="244"/>
      <c r="AM63" s="244"/>
      <c r="AN63" s="244"/>
      <c r="AO63" s="321">
        <f t="shared" si="22"/>
        <v>1</v>
      </c>
      <c r="AP63" s="73">
        <f t="shared" si="23"/>
        <v>0</v>
      </c>
      <c r="AQ63" s="322">
        <f t="shared" si="1"/>
        <v>0.0019479009099965753</v>
      </c>
      <c r="AR63" s="323">
        <f t="shared" si="2"/>
        <v>0.0019476616924691825</v>
      </c>
      <c r="AS63" s="235"/>
      <c r="AT63" s="239"/>
      <c r="AU63" s="239"/>
      <c r="AV63" s="239"/>
      <c r="AW63" s="239"/>
      <c r="AX63" s="239"/>
      <c r="AY63" s="239"/>
      <c r="AZ63" s="239"/>
      <c r="BA63" s="239"/>
      <c r="BB63" s="319">
        <f t="shared" si="24"/>
        <v>1</v>
      </c>
      <c r="BC63" s="69">
        <f t="shared" si="39"/>
        <v>135</v>
      </c>
      <c r="BD63" s="320">
        <f t="shared" si="25"/>
        <v>134.9824471119559</v>
      </c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CA63" s="162">
        <f t="shared" si="46"/>
        <v>1</v>
      </c>
      <c r="CB63" s="162">
        <f t="shared" si="47"/>
        <v>0</v>
      </c>
      <c r="CC63" s="162">
        <f t="shared" si="48"/>
        <v>0</v>
      </c>
      <c r="CD63" s="162">
        <f t="shared" si="49"/>
        <v>0</v>
      </c>
      <c r="CE63" s="162">
        <f t="shared" si="50"/>
        <v>0</v>
      </c>
      <c r="CF63" s="162">
        <f t="shared" si="51"/>
        <v>0</v>
      </c>
      <c r="CG63" s="162">
        <f t="shared" si="52"/>
        <v>0</v>
      </c>
      <c r="CH63" s="162">
        <f t="shared" si="53"/>
        <v>0</v>
      </c>
      <c r="CI63" s="162">
        <f t="shared" si="54"/>
        <v>0</v>
      </c>
      <c r="CJ63" s="162">
        <f t="shared" si="55"/>
        <v>0</v>
      </c>
      <c r="CK63" s="162">
        <f t="shared" si="56"/>
        <v>0</v>
      </c>
      <c r="CL63" s="162">
        <f t="shared" si="57"/>
        <v>0</v>
      </c>
      <c r="CM63" s="162">
        <f t="shared" si="58"/>
        <v>0</v>
      </c>
      <c r="CN63" s="162">
        <f t="shared" si="40"/>
        <v>0</v>
      </c>
      <c r="CO63" s="162">
        <f t="shared" si="59"/>
        <v>1</v>
      </c>
      <c r="CP63" s="163">
        <f t="shared" si="42"/>
        <v>134.9824471119559</v>
      </c>
      <c r="CQ63" s="164"/>
      <c r="CR63" s="164"/>
      <c r="CS63" s="164"/>
      <c r="CT63" s="164"/>
      <c r="CU63" s="164"/>
      <c r="CV63" s="164"/>
      <c r="CW63" s="165">
        <f t="shared" si="30"/>
        <v>0</v>
      </c>
      <c r="CX63" s="165">
        <f t="shared" si="31"/>
        <v>376.47922508222666</v>
      </c>
      <c r="CY63" s="162">
        <f t="shared" si="32"/>
        <v>1</v>
      </c>
      <c r="CZ63" s="164"/>
    </row>
    <row r="64" spans="1:104" ht="12.75">
      <c r="A64" s="239"/>
      <c r="B64" s="166">
        <v>1</v>
      </c>
      <c r="C64" s="114">
        <v>1</v>
      </c>
      <c r="D64" s="233">
        <f t="shared" si="13"/>
        <v>3</v>
      </c>
      <c r="E64" s="157">
        <v>1</v>
      </c>
      <c r="F64" s="157">
        <v>0</v>
      </c>
      <c r="G64" s="464">
        <f t="shared" si="35"/>
        <v>13.354532408196683</v>
      </c>
      <c r="H64" s="195">
        <f t="shared" si="36"/>
        <v>0.0019470445603562568</v>
      </c>
      <c r="I64" s="71">
        <f t="shared" si="33"/>
        <v>-0.0019470445603562568</v>
      </c>
      <c r="J64" s="71">
        <f t="shared" si="14"/>
        <v>-0.019501073828850198</v>
      </c>
      <c r="K64" s="73">
        <f t="shared" si="43"/>
        <v>134.98050033459177</v>
      </c>
      <c r="L64" s="73">
        <f t="shared" si="16"/>
        <v>-0.001946777364139507</v>
      </c>
      <c r="M64" s="71">
        <f t="shared" si="17"/>
        <v>0.001946777364139507</v>
      </c>
      <c r="N64" s="71">
        <f t="shared" si="37"/>
        <v>2.6719621674985497E-07</v>
      </c>
      <c r="O64" s="167">
        <f t="shared" si="18"/>
        <v>0</v>
      </c>
      <c r="P64" s="112"/>
      <c r="Q64" s="124">
        <f t="shared" si="38"/>
        <v>-22.84265567379326</v>
      </c>
      <c r="R64" s="124">
        <f t="shared" si="19"/>
        <v>100.15899306147512</v>
      </c>
      <c r="S64" s="124">
        <f t="shared" si="20"/>
        <v>13.354532408196683</v>
      </c>
      <c r="U64" s="203"/>
      <c r="V64" s="203"/>
      <c r="W64" s="203"/>
      <c r="X64" s="204"/>
      <c r="Y64" s="69"/>
      <c r="Z64" s="69"/>
      <c r="AA64" s="319">
        <f t="shared" si="21"/>
        <v>1</v>
      </c>
      <c r="AB64" s="69">
        <f t="shared" si="44"/>
        <v>-2.6719621674985497E-07</v>
      </c>
      <c r="AC64" s="320">
        <f t="shared" si="45"/>
        <v>0</v>
      </c>
      <c r="AD64" s="69"/>
      <c r="AE64" s="244"/>
      <c r="AF64" s="239"/>
      <c r="AG64" s="239"/>
      <c r="AH64" s="239"/>
      <c r="AI64" s="244"/>
      <c r="AJ64" s="244"/>
      <c r="AK64" s="244"/>
      <c r="AL64" s="244"/>
      <c r="AM64" s="244"/>
      <c r="AN64" s="244"/>
      <c r="AO64" s="321">
        <f t="shared" si="22"/>
        <v>1</v>
      </c>
      <c r="AP64" s="73">
        <f t="shared" si="23"/>
        <v>0</v>
      </c>
      <c r="AQ64" s="322">
        <f t="shared" si="1"/>
        <v>0.0019470445603562568</v>
      </c>
      <c r="AR64" s="323">
        <f t="shared" si="2"/>
        <v>0.001946777364139507</v>
      </c>
      <c r="AS64" s="235"/>
      <c r="AT64" s="239"/>
      <c r="AU64" s="239"/>
      <c r="AV64" s="239"/>
      <c r="AW64" s="239"/>
      <c r="AX64" s="239"/>
      <c r="AY64" s="239"/>
      <c r="AZ64" s="239"/>
      <c r="BA64" s="239"/>
      <c r="BB64" s="319">
        <f t="shared" si="24"/>
        <v>1</v>
      </c>
      <c r="BC64" s="69">
        <f t="shared" si="39"/>
        <v>135</v>
      </c>
      <c r="BD64" s="320">
        <f t="shared" si="25"/>
        <v>134.98050033459177</v>
      </c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CA64" s="162">
        <f t="shared" si="46"/>
        <v>1</v>
      </c>
      <c r="CB64" s="162">
        <f t="shared" si="47"/>
        <v>0</v>
      </c>
      <c r="CC64" s="162">
        <f t="shared" si="48"/>
        <v>0</v>
      </c>
      <c r="CD64" s="162">
        <f t="shared" si="49"/>
        <v>0</v>
      </c>
      <c r="CE64" s="162">
        <f t="shared" si="50"/>
        <v>0</v>
      </c>
      <c r="CF64" s="162">
        <f t="shared" si="51"/>
        <v>0</v>
      </c>
      <c r="CG64" s="162">
        <f t="shared" si="52"/>
        <v>0</v>
      </c>
      <c r="CH64" s="162">
        <f t="shared" si="53"/>
        <v>0</v>
      </c>
      <c r="CI64" s="162">
        <f t="shared" si="54"/>
        <v>0</v>
      </c>
      <c r="CJ64" s="162">
        <f t="shared" si="55"/>
        <v>0</v>
      </c>
      <c r="CK64" s="162">
        <f t="shared" si="56"/>
        <v>0</v>
      </c>
      <c r="CL64" s="162">
        <f t="shared" si="57"/>
        <v>0</v>
      </c>
      <c r="CM64" s="162">
        <f t="shared" si="58"/>
        <v>0</v>
      </c>
      <c r="CN64" s="162">
        <f t="shared" si="40"/>
        <v>0</v>
      </c>
      <c r="CO64" s="162">
        <f t="shared" si="59"/>
        <v>1</v>
      </c>
      <c r="CP64" s="163">
        <f t="shared" si="42"/>
        <v>134.98050033459177</v>
      </c>
      <c r="CQ64" s="164"/>
      <c r="CR64" s="164"/>
      <c r="CS64" s="164"/>
      <c r="CT64" s="164"/>
      <c r="CU64" s="164"/>
      <c r="CV64" s="164"/>
      <c r="CW64" s="165">
        <f t="shared" si="30"/>
        <v>0</v>
      </c>
      <c r="CX64" s="165">
        <f t="shared" si="31"/>
        <v>376.47922508222666</v>
      </c>
      <c r="CY64" s="162">
        <f t="shared" si="32"/>
        <v>1</v>
      </c>
      <c r="CZ64" s="164"/>
    </row>
    <row r="65" spans="1:104" ht="12.75">
      <c r="A65" s="239"/>
      <c r="B65" s="166">
        <v>1</v>
      </c>
      <c r="C65" s="114">
        <v>1</v>
      </c>
      <c r="D65" s="233">
        <f t="shared" si="13"/>
        <v>4</v>
      </c>
      <c r="E65" s="157">
        <v>1</v>
      </c>
      <c r="F65" s="157">
        <v>0</v>
      </c>
      <c r="G65" s="464">
        <f t="shared" si="35"/>
        <v>13.348215840127532</v>
      </c>
      <c r="H65" s="195">
        <f t="shared" si="36"/>
        <v>0.00194612362661457</v>
      </c>
      <c r="I65" s="71">
        <f t="shared" si="33"/>
        <v>-0.00194612362661457</v>
      </c>
      <c r="J65" s="71">
        <f t="shared" si="14"/>
        <v>-0.021447197455464768</v>
      </c>
      <c r="K65" s="73">
        <f t="shared" si="43"/>
        <v>134.9785545060924</v>
      </c>
      <c r="L65" s="73">
        <f t="shared" si="16"/>
        <v>-0.0019458284993731922</v>
      </c>
      <c r="M65" s="71">
        <f t="shared" si="17"/>
        <v>0.0019458284993731922</v>
      </c>
      <c r="N65" s="71">
        <f t="shared" si="37"/>
        <v>2.951272413777902E-07</v>
      </c>
      <c r="O65" s="167">
        <f t="shared" si="18"/>
        <v>0</v>
      </c>
      <c r="P65" s="112"/>
      <c r="Q65" s="124">
        <f t="shared" si="38"/>
        <v>-22.747998967417843</v>
      </c>
      <c r="R65" s="124">
        <f t="shared" si="19"/>
        <v>100.11161880095649</v>
      </c>
      <c r="S65" s="124">
        <f t="shared" si="20"/>
        <v>13.348215840127532</v>
      </c>
      <c r="U65" s="203"/>
      <c r="V65" s="203"/>
      <c r="W65" s="203"/>
      <c r="X65" s="204"/>
      <c r="Y65" s="69"/>
      <c r="Z65" s="69"/>
      <c r="AA65" s="319">
        <f t="shared" si="21"/>
        <v>1</v>
      </c>
      <c r="AB65" s="69">
        <f t="shared" si="44"/>
        <v>-2.951272413777902E-07</v>
      </c>
      <c r="AC65" s="320">
        <f t="shared" si="45"/>
        <v>0</v>
      </c>
      <c r="AD65" s="69"/>
      <c r="AE65" s="244"/>
      <c r="AF65" s="239"/>
      <c r="AG65" s="239"/>
      <c r="AH65" s="239"/>
      <c r="AI65" s="244"/>
      <c r="AJ65" s="244"/>
      <c r="AK65" s="244"/>
      <c r="AL65" s="244"/>
      <c r="AM65" s="244"/>
      <c r="AN65" s="244"/>
      <c r="AO65" s="321">
        <f t="shared" si="22"/>
        <v>1</v>
      </c>
      <c r="AP65" s="73">
        <f t="shared" si="23"/>
        <v>0</v>
      </c>
      <c r="AQ65" s="322">
        <f t="shared" si="1"/>
        <v>0.00194612362661457</v>
      </c>
      <c r="AR65" s="323">
        <f t="shared" si="2"/>
        <v>0.0019458284993731922</v>
      </c>
      <c r="AS65" s="235"/>
      <c r="AT65" s="239"/>
      <c r="AU65" s="239"/>
      <c r="AV65" s="239"/>
      <c r="AW65" s="239"/>
      <c r="AX65" s="239"/>
      <c r="AY65" s="239"/>
      <c r="AZ65" s="239"/>
      <c r="BA65" s="239"/>
      <c r="BB65" s="319">
        <f t="shared" si="24"/>
        <v>1</v>
      </c>
      <c r="BC65" s="69">
        <f t="shared" si="39"/>
        <v>135</v>
      </c>
      <c r="BD65" s="320">
        <f t="shared" si="25"/>
        <v>134.9785545060924</v>
      </c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CA65" s="162">
        <f t="shared" si="46"/>
        <v>1</v>
      </c>
      <c r="CB65" s="162">
        <f t="shared" si="47"/>
        <v>0</v>
      </c>
      <c r="CC65" s="162">
        <f t="shared" si="48"/>
        <v>0</v>
      </c>
      <c r="CD65" s="162">
        <f t="shared" si="49"/>
        <v>0</v>
      </c>
      <c r="CE65" s="162">
        <f t="shared" si="50"/>
        <v>0</v>
      </c>
      <c r="CF65" s="162">
        <f t="shared" si="51"/>
        <v>0</v>
      </c>
      <c r="CG65" s="162">
        <f t="shared" si="52"/>
        <v>0</v>
      </c>
      <c r="CH65" s="162">
        <f t="shared" si="53"/>
        <v>0</v>
      </c>
      <c r="CI65" s="162">
        <f t="shared" si="54"/>
        <v>0</v>
      </c>
      <c r="CJ65" s="162">
        <f t="shared" si="55"/>
        <v>0</v>
      </c>
      <c r="CK65" s="162">
        <f t="shared" si="56"/>
        <v>0</v>
      </c>
      <c r="CL65" s="162">
        <f t="shared" si="57"/>
        <v>0</v>
      </c>
      <c r="CM65" s="162">
        <f t="shared" si="58"/>
        <v>0</v>
      </c>
      <c r="CN65" s="162">
        <f t="shared" si="40"/>
        <v>0</v>
      </c>
      <c r="CO65" s="162">
        <f t="shared" si="59"/>
        <v>1</v>
      </c>
      <c r="CP65" s="163">
        <f t="shared" si="42"/>
        <v>134.9785545060924</v>
      </c>
      <c r="CQ65" s="164"/>
      <c r="CR65" s="164"/>
      <c r="CS65" s="164"/>
      <c r="CT65" s="164"/>
      <c r="CU65" s="164"/>
      <c r="CV65" s="164"/>
      <c r="CW65" s="165">
        <f t="shared" si="30"/>
        <v>0</v>
      </c>
      <c r="CX65" s="165">
        <f t="shared" si="31"/>
        <v>376.47922508222666</v>
      </c>
      <c r="CY65" s="162">
        <f t="shared" si="32"/>
        <v>1</v>
      </c>
      <c r="CZ65" s="164"/>
    </row>
    <row r="66" spans="1:104" ht="12.75">
      <c r="A66" s="239"/>
      <c r="B66" s="166">
        <v>1</v>
      </c>
      <c r="C66" s="114">
        <v>1</v>
      </c>
      <c r="D66" s="233">
        <f t="shared" si="13"/>
        <v>5</v>
      </c>
      <c r="E66" s="157">
        <v>1</v>
      </c>
      <c r="F66" s="157">
        <v>0</v>
      </c>
      <c r="G66" s="464">
        <f t="shared" si="35"/>
        <v>13.341460185253592</v>
      </c>
      <c r="H66" s="195">
        <f t="shared" si="36"/>
        <v>0.0019451386755378946</v>
      </c>
      <c r="I66" s="71">
        <f t="shared" si="33"/>
        <v>-0.0019451386755378946</v>
      </c>
      <c r="J66" s="71">
        <f t="shared" si="14"/>
        <v>-0.023392336131002663</v>
      </c>
      <c r="K66" s="73">
        <f t="shared" si="43"/>
        <v>134.97660969042377</v>
      </c>
      <c r="L66" s="73">
        <f t="shared" si="16"/>
        <v>-0.0019448156686223683</v>
      </c>
      <c r="M66" s="71">
        <f t="shared" si="17"/>
        <v>0.0019448156686223683</v>
      </c>
      <c r="N66" s="71">
        <f t="shared" si="37"/>
        <v>3.230069155263013E-07</v>
      </c>
      <c r="O66" s="167">
        <f t="shared" si="18"/>
        <v>0</v>
      </c>
      <c r="P66" s="112"/>
      <c r="Q66" s="124">
        <f t="shared" si="38"/>
        <v>-22.646601538006347</v>
      </c>
      <c r="R66" s="124">
        <f t="shared" si="19"/>
        <v>100.06095138940194</v>
      </c>
      <c r="S66" s="124">
        <f t="shared" si="20"/>
        <v>13.341460185253592</v>
      </c>
      <c r="U66" s="203"/>
      <c r="V66" s="203"/>
      <c r="W66" s="203"/>
      <c r="X66" s="204"/>
      <c r="Y66" s="69"/>
      <c r="Z66" s="69"/>
      <c r="AA66" s="319">
        <f t="shared" si="21"/>
        <v>1</v>
      </c>
      <c r="AB66" s="69">
        <f t="shared" si="44"/>
        <v>-3.230069155263013E-07</v>
      </c>
      <c r="AC66" s="320">
        <f t="shared" si="45"/>
        <v>0</v>
      </c>
      <c r="AD66" s="69"/>
      <c r="AE66" s="244"/>
      <c r="AF66" s="239"/>
      <c r="AG66" s="239"/>
      <c r="AH66" s="239"/>
      <c r="AI66" s="244"/>
      <c r="AJ66" s="244"/>
      <c r="AK66" s="244"/>
      <c r="AL66" s="244"/>
      <c r="AM66" s="244"/>
      <c r="AN66" s="244"/>
      <c r="AO66" s="321">
        <f t="shared" si="22"/>
        <v>1</v>
      </c>
      <c r="AP66" s="73">
        <f t="shared" si="23"/>
        <v>0</v>
      </c>
      <c r="AQ66" s="322">
        <f t="shared" si="1"/>
        <v>0.0019451386755378946</v>
      </c>
      <c r="AR66" s="323">
        <f t="shared" si="2"/>
        <v>0.0019448156686223683</v>
      </c>
      <c r="AS66" s="235"/>
      <c r="AT66" s="239"/>
      <c r="AU66" s="239"/>
      <c r="AV66" s="239"/>
      <c r="AW66" s="239"/>
      <c r="AX66" s="239"/>
      <c r="AY66" s="239"/>
      <c r="AZ66" s="239"/>
      <c r="BA66" s="239"/>
      <c r="BB66" s="319">
        <f t="shared" si="24"/>
        <v>1</v>
      </c>
      <c r="BC66" s="69">
        <f t="shared" si="39"/>
        <v>135</v>
      </c>
      <c r="BD66" s="320">
        <f t="shared" si="25"/>
        <v>134.97660969042377</v>
      </c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CA66" s="162">
        <f t="shared" si="46"/>
        <v>1</v>
      </c>
      <c r="CB66" s="162">
        <f t="shared" si="47"/>
        <v>0</v>
      </c>
      <c r="CC66" s="162">
        <f t="shared" si="48"/>
        <v>0</v>
      </c>
      <c r="CD66" s="162">
        <f t="shared" si="49"/>
        <v>0</v>
      </c>
      <c r="CE66" s="162">
        <f t="shared" si="50"/>
        <v>0</v>
      </c>
      <c r="CF66" s="162">
        <f t="shared" si="51"/>
        <v>0</v>
      </c>
      <c r="CG66" s="162">
        <f t="shared" si="52"/>
        <v>0</v>
      </c>
      <c r="CH66" s="162">
        <f t="shared" si="53"/>
        <v>0</v>
      </c>
      <c r="CI66" s="162">
        <f t="shared" si="54"/>
        <v>0</v>
      </c>
      <c r="CJ66" s="162">
        <f t="shared" si="55"/>
        <v>0</v>
      </c>
      <c r="CK66" s="162">
        <f t="shared" si="56"/>
        <v>0</v>
      </c>
      <c r="CL66" s="162">
        <f t="shared" si="57"/>
        <v>0</v>
      </c>
      <c r="CM66" s="162">
        <f t="shared" si="58"/>
        <v>0</v>
      </c>
      <c r="CN66" s="162">
        <f t="shared" si="40"/>
        <v>0</v>
      </c>
      <c r="CO66" s="162">
        <f t="shared" si="59"/>
        <v>1</v>
      </c>
      <c r="CP66" s="163">
        <f t="shared" si="42"/>
        <v>134.97660969042377</v>
      </c>
      <c r="CQ66" s="164"/>
      <c r="CR66" s="164"/>
      <c r="CS66" s="164"/>
      <c r="CT66" s="164"/>
      <c r="CU66" s="164"/>
      <c r="CV66" s="164"/>
      <c r="CW66" s="165">
        <f t="shared" si="30"/>
        <v>0</v>
      </c>
      <c r="CX66" s="165">
        <f t="shared" si="31"/>
        <v>376.47922508222666</v>
      </c>
      <c r="CY66" s="162">
        <f t="shared" si="32"/>
        <v>1</v>
      </c>
      <c r="CZ66" s="164"/>
    </row>
    <row r="67" spans="1:104" ht="12.75">
      <c r="A67" s="239"/>
      <c r="B67" s="166">
        <v>1</v>
      </c>
      <c r="C67" s="114">
        <v>1</v>
      </c>
      <c r="D67" s="233">
        <f t="shared" si="13"/>
        <v>6</v>
      </c>
      <c r="E67" s="157">
        <v>1</v>
      </c>
      <c r="F67" s="157">
        <v>0</v>
      </c>
      <c r="G67" s="464">
        <f t="shared" si="35"/>
        <v>13.33426957128973</v>
      </c>
      <c r="H67" s="195">
        <f t="shared" si="36"/>
        <v>0.0019440903089327586</v>
      </c>
      <c r="I67" s="71">
        <f t="shared" si="33"/>
        <v>-0.0019440903089327586</v>
      </c>
      <c r="J67" s="71">
        <f t="shared" si="14"/>
        <v>-0.025336426439935424</v>
      </c>
      <c r="K67" s="73">
        <f t="shared" si="43"/>
        <v>134.97466595094653</v>
      </c>
      <c r="L67" s="73">
        <f t="shared" si="16"/>
        <v>-0.0019437394772410244</v>
      </c>
      <c r="M67" s="71">
        <f t="shared" si="17"/>
        <v>0.0019437394772410244</v>
      </c>
      <c r="N67" s="71">
        <f t="shared" si="37"/>
        <v>3.5083169173423523E-07</v>
      </c>
      <c r="O67" s="167">
        <f t="shared" si="18"/>
        <v>0</v>
      </c>
      <c r="P67" s="112"/>
      <c r="Q67" s="124">
        <f t="shared" si="38"/>
        <v>-22.538493431805453</v>
      </c>
      <c r="R67" s="124">
        <f t="shared" si="19"/>
        <v>100.00702178467297</v>
      </c>
      <c r="S67" s="124">
        <f t="shared" si="20"/>
        <v>13.33426957128973</v>
      </c>
      <c r="U67" s="203"/>
      <c r="V67" s="203"/>
      <c r="W67" s="203"/>
      <c r="X67" s="204"/>
      <c r="Y67" s="69"/>
      <c r="Z67" s="69"/>
      <c r="AA67" s="319">
        <f t="shared" si="21"/>
        <v>1</v>
      </c>
      <c r="AB67" s="69">
        <f t="shared" si="44"/>
        <v>-3.5083169173423523E-07</v>
      </c>
      <c r="AC67" s="320">
        <f t="shared" si="45"/>
        <v>0</v>
      </c>
      <c r="AD67" s="69"/>
      <c r="AE67" s="244"/>
      <c r="AF67" s="239"/>
      <c r="AG67" s="239"/>
      <c r="AH67" s="239"/>
      <c r="AI67" s="244"/>
      <c r="AJ67" s="244"/>
      <c r="AK67" s="244"/>
      <c r="AL67" s="244"/>
      <c r="AM67" s="244"/>
      <c r="AN67" s="244"/>
      <c r="AO67" s="321">
        <f t="shared" si="22"/>
        <v>1</v>
      </c>
      <c r="AP67" s="73">
        <f t="shared" si="23"/>
        <v>0</v>
      </c>
      <c r="AQ67" s="322">
        <f t="shared" si="1"/>
        <v>0.0019440903089327586</v>
      </c>
      <c r="AR67" s="323">
        <f t="shared" si="2"/>
        <v>0.0019437394772410244</v>
      </c>
      <c r="AS67" s="235"/>
      <c r="AT67" s="239"/>
      <c r="AU67" s="239"/>
      <c r="AV67" s="239"/>
      <c r="AW67" s="239"/>
      <c r="AX67" s="239"/>
      <c r="AY67" s="239"/>
      <c r="AZ67" s="239"/>
      <c r="BA67" s="239"/>
      <c r="BB67" s="319">
        <f t="shared" si="24"/>
        <v>1</v>
      </c>
      <c r="BC67" s="69">
        <f t="shared" si="39"/>
        <v>135</v>
      </c>
      <c r="BD67" s="320">
        <f t="shared" si="25"/>
        <v>134.97466595094653</v>
      </c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CA67" s="162">
        <f t="shared" si="46"/>
        <v>1</v>
      </c>
      <c r="CB67" s="162">
        <f t="shared" si="47"/>
        <v>0</v>
      </c>
      <c r="CC67" s="162">
        <f t="shared" si="48"/>
        <v>0</v>
      </c>
      <c r="CD67" s="162">
        <f t="shared" si="49"/>
        <v>0</v>
      </c>
      <c r="CE67" s="162">
        <f t="shared" si="50"/>
        <v>0</v>
      </c>
      <c r="CF67" s="162">
        <f t="shared" si="51"/>
        <v>0</v>
      </c>
      <c r="CG67" s="162">
        <f t="shared" si="52"/>
        <v>0</v>
      </c>
      <c r="CH67" s="162">
        <f t="shared" si="53"/>
        <v>0</v>
      </c>
      <c r="CI67" s="162">
        <f t="shared" si="54"/>
        <v>0</v>
      </c>
      <c r="CJ67" s="162">
        <f t="shared" si="55"/>
        <v>0</v>
      </c>
      <c r="CK67" s="162">
        <f t="shared" si="56"/>
        <v>0</v>
      </c>
      <c r="CL67" s="162">
        <f t="shared" si="57"/>
        <v>0</v>
      </c>
      <c r="CM67" s="162">
        <f t="shared" si="58"/>
        <v>0</v>
      </c>
      <c r="CN67" s="162">
        <f t="shared" si="40"/>
        <v>0</v>
      </c>
      <c r="CO67" s="162">
        <f t="shared" si="59"/>
        <v>1</v>
      </c>
      <c r="CP67" s="163">
        <f t="shared" si="42"/>
        <v>134.97466595094653</v>
      </c>
      <c r="CQ67" s="164"/>
      <c r="CR67" s="164"/>
      <c r="CS67" s="164"/>
      <c r="CT67" s="164"/>
      <c r="CU67" s="164"/>
      <c r="CV67" s="164"/>
      <c r="CW67" s="165">
        <f t="shared" si="30"/>
        <v>0</v>
      </c>
      <c r="CX67" s="165">
        <f t="shared" si="31"/>
        <v>376.47922508222666</v>
      </c>
      <c r="CY67" s="162">
        <f t="shared" si="32"/>
        <v>1</v>
      </c>
      <c r="CZ67" s="164"/>
    </row>
    <row r="68" spans="1:104" ht="12.75">
      <c r="A68" s="239"/>
      <c r="B68" s="166">
        <v>1</v>
      </c>
      <c r="C68" s="114">
        <v>1</v>
      </c>
      <c r="D68" s="233">
        <f t="shared" si="13"/>
        <v>7</v>
      </c>
      <c r="E68" s="157">
        <v>1</v>
      </c>
      <c r="F68" s="157">
        <v>0</v>
      </c>
      <c r="G68" s="464">
        <f t="shared" si="35"/>
        <v>13.326648357984807</v>
      </c>
      <c r="H68" s="195">
        <f t="shared" si="36"/>
        <v>0.0019429791624354423</v>
      </c>
      <c r="I68" s="71">
        <f aca="true" t="shared" si="60" ref="I68:I91">F68-H68</f>
        <v>-0.0019429791624354423</v>
      </c>
      <c r="J68" s="71">
        <f aca="true" t="shared" si="61" ref="J68:J91">IF(CY68=1,IF(CO68=0,0,IF(I68&lt;0,J67+I68,IF(I68&gt;0,$CA$9*LN(K68/$CA$9)))),"")</f>
        <v>-0.027279405602370865</v>
      </c>
      <c r="K68" s="73">
        <f aca="true" t="shared" si="62" ref="K68:K91">IF(CY68=1,IF(CP68&gt;$CA$9,$CA$9,CP68),"")</f>
        <v>134.97272335038227</v>
      </c>
      <c r="L68" s="73">
        <f aca="true" t="shared" si="63" ref="L68:L91">IF(CY68=1,K68-K67,"")</f>
        <v>-0.0019426005642628752</v>
      </c>
      <c r="M68" s="71">
        <f aca="true" t="shared" si="64" ref="M68:M91">IF(CY68=1,IF(I68&gt;=0,H68,F68+ABS(L68)),"")</f>
        <v>0.0019426005642628752</v>
      </c>
      <c r="N68" s="71">
        <f aca="true" t="shared" si="65" ref="N68:N91">IF(CY68=1,H68-M68,"")</f>
        <v>3.7859817256713155E-07</v>
      </c>
      <c r="O68" s="167">
        <f aca="true" t="shared" si="66" ref="O68:O91">IF(CY68=1,IF(K68&lt;$CA$9,0,IF(K68=$CA$9,I68-L68)),"")</f>
        <v>0</v>
      </c>
      <c r="P68" s="112"/>
      <c r="Q68" s="124">
        <f t="shared" si="38"/>
        <v>-22.423706683580185</v>
      </c>
      <c r="R68" s="124">
        <f t="shared" si="19"/>
        <v>99.94986268488606</v>
      </c>
      <c r="S68" s="124">
        <f t="shared" si="20"/>
        <v>13.326648357984807</v>
      </c>
      <c r="U68" s="203"/>
      <c r="V68" s="203"/>
      <c r="W68" s="203"/>
      <c r="X68" s="204"/>
      <c r="Y68" s="69"/>
      <c r="Z68" s="69"/>
      <c r="AA68" s="319">
        <f aca="true" t="shared" si="67" ref="AA68:AA91">B68</f>
        <v>1</v>
      </c>
      <c r="AB68" s="69">
        <f aca="true" t="shared" si="68" ref="AB68:AB91">IF(O68&lt;&gt;N68,N68*-1,0)</f>
        <v>-3.7859817256713155E-07</v>
      </c>
      <c r="AC68" s="320">
        <f aca="true" t="shared" si="69" ref="AC68:AC91">IF(O68&lt;&gt;N68,O68,0)</f>
        <v>0</v>
      </c>
      <c r="AD68" s="69"/>
      <c r="AE68" s="244"/>
      <c r="AF68" s="239"/>
      <c r="AG68" s="239"/>
      <c r="AH68" s="239"/>
      <c r="AI68" s="244"/>
      <c r="AJ68" s="244"/>
      <c r="AK68" s="244"/>
      <c r="AL68" s="244"/>
      <c r="AM68" s="244"/>
      <c r="AN68" s="244"/>
      <c r="AO68" s="321">
        <f aca="true" t="shared" si="70" ref="AO68:AO91">B68</f>
        <v>1</v>
      </c>
      <c r="AP68" s="73">
        <f aca="true" t="shared" si="71" ref="AP68:AP91">F68</f>
        <v>0</v>
      </c>
      <c r="AQ68" s="322">
        <f aca="true" t="shared" si="72" ref="AQ68:AQ91">H68</f>
        <v>0.0019429791624354423</v>
      </c>
      <c r="AR68" s="323">
        <f aca="true" t="shared" si="73" ref="AR68:AR91">M68</f>
        <v>0.0019426005642628752</v>
      </c>
      <c r="AS68" s="235"/>
      <c r="AT68" s="239"/>
      <c r="AU68" s="239"/>
      <c r="AV68" s="239"/>
      <c r="AW68" s="239"/>
      <c r="AX68" s="239"/>
      <c r="AY68" s="239"/>
      <c r="AZ68" s="239"/>
      <c r="BA68" s="239"/>
      <c r="BB68" s="319">
        <f aca="true" t="shared" si="74" ref="BB68:BB91">B68</f>
        <v>1</v>
      </c>
      <c r="BC68" s="69">
        <f t="shared" si="39"/>
        <v>135</v>
      </c>
      <c r="BD68" s="320">
        <f aca="true" t="shared" si="75" ref="BD68:BD91">K68</f>
        <v>134.97272335038227</v>
      </c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CA68" s="162">
        <f aca="true" t="shared" si="76" ref="CA68:CA91">IF(I68&lt;0,1,0)</f>
        <v>1</v>
      </c>
      <c r="CB68" s="162">
        <f aca="true" t="shared" si="77" ref="CB68:CB91">IF(AND(CA67=1,CA68=0),1,0)</f>
        <v>0</v>
      </c>
      <c r="CC68" s="162">
        <f aca="true" t="shared" si="78" ref="CC68:CC91">IF(AND(CB67=1,CB68=0),1,0)</f>
        <v>0</v>
      </c>
      <c r="CD68" s="162">
        <f aca="true" t="shared" si="79" ref="CD68:CD91">IF(AND(CC67=1,CC68=0),1,0)</f>
        <v>0</v>
      </c>
      <c r="CE68" s="162">
        <f aca="true" t="shared" si="80" ref="CE68:CE91">IF(AND(CD67=1,CD68=0),1,0)</f>
        <v>0</v>
      </c>
      <c r="CF68" s="162">
        <f aca="true" t="shared" si="81" ref="CF68:CF91">IF(AND(CE67=1,CE68=0),1,0)</f>
        <v>0</v>
      </c>
      <c r="CG68" s="162">
        <f aca="true" t="shared" si="82" ref="CG68:CG91">IF(AND(CF67=1,CF68=0),1,0)</f>
        <v>0</v>
      </c>
      <c r="CH68" s="162">
        <f aca="true" t="shared" si="83" ref="CH68:CH91">IF(AND(CG67=1,CG68=0),1,0)</f>
        <v>0</v>
      </c>
      <c r="CI68" s="162">
        <f aca="true" t="shared" si="84" ref="CI68:CI91">IF(AND(CH67=1,CH68=0),1,0)</f>
        <v>0</v>
      </c>
      <c r="CJ68" s="162">
        <f aca="true" t="shared" si="85" ref="CJ68:CJ91">IF(AND(CI67=1,CI68=0),1,0)</f>
        <v>0</v>
      </c>
      <c r="CK68" s="162">
        <f aca="true" t="shared" si="86" ref="CK68:CK91">IF(AND(CJ67=1,CJ68=0),1,0)</f>
        <v>0</v>
      </c>
      <c r="CL68" s="162">
        <f aca="true" t="shared" si="87" ref="CL68:CL91">IF(AND(CK67=1,CK68=0),1,0)</f>
        <v>0</v>
      </c>
      <c r="CM68" s="162">
        <f aca="true" t="shared" si="88" ref="CM68:CM91">IF(AND($CX$93=1,OR(CW68=$CW$92,CM67=1)),1,0)</f>
        <v>0</v>
      </c>
      <c r="CN68" s="162">
        <f aca="true" t="shared" si="89" ref="CN68:CN91">IF(AND(CM68=1,CM67=0),I68,0)</f>
        <v>0</v>
      </c>
      <c r="CO68" s="162">
        <f aca="true" t="shared" si="90" ref="CO68:CO91">IF(OR(CA68=1,CB68=1,CC68=1,CD68=1,CE68=1,CF68=1,CG68=1,CH68=1,CI68=1,CJ68=1,CK68=1,CL68=1,CM68=1),1,0)</f>
        <v>1</v>
      </c>
      <c r="CP68" s="163">
        <f t="shared" si="42"/>
        <v>134.97272335038227</v>
      </c>
      <c r="CQ68" s="164"/>
      <c r="CR68" s="164"/>
      <c r="CS68" s="164"/>
      <c r="CT68" s="164"/>
      <c r="CU68" s="164"/>
      <c r="CV68" s="164"/>
      <c r="CW68" s="165">
        <f aca="true" t="shared" si="91" ref="CW68:CW91">IF(CY68=1,IF(I68&lt;0,0,I68+CW67),"")</f>
        <v>0</v>
      </c>
      <c r="CX68" s="165">
        <f aca="true" t="shared" si="92" ref="CX68:CX91">IF(CY68=1,IF(I68&lt;0,CX67,CX67+I68),"")</f>
        <v>376.47922508222666</v>
      </c>
      <c r="CY68" s="162">
        <f aca="true" t="shared" si="93" ref="CY68:CY91">IF(OR(B68="fim",CY67=0),0,1)</f>
        <v>1</v>
      </c>
      <c r="CZ68" s="164"/>
    </row>
    <row r="69" spans="1:104" ht="12.75">
      <c r="A69" s="239"/>
      <c r="B69" s="166">
        <v>1</v>
      </c>
      <c r="C69" s="114">
        <v>1</v>
      </c>
      <c r="D69" s="233">
        <f t="shared" si="13"/>
        <v>8</v>
      </c>
      <c r="E69" s="157">
        <v>1</v>
      </c>
      <c r="F69" s="157">
        <v>0</v>
      </c>
      <c r="G69" s="464">
        <f t="shared" si="35"/>
        <v>13.318601128456041</v>
      </c>
      <c r="H69" s="195">
        <f t="shared" si="36"/>
        <v>0.0019418059042485586</v>
      </c>
      <c r="I69" s="71">
        <f t="shared" si="60"/>
        <v>-0.0019418059042485586</v>
      </c>
      <c r="J69" s="71">
        <f t="shared" si="61"/>
        <v>-0.029221211506619424</v>
      </c>
      <c r="K69" s="73">
        <f t="shared" si="62"/>
        <v>134.97078195078078</v>
      </c>
      <c r="L69" s="73">
        <f t="shared" si="63"/>
        <v>-0.0019413996014918666</v>
      </c>
      <c r="M69" s="71">
        <f t="shared" si="64"/>
        <v>0.0019413996014918666</v>
      </c>
      <c r="N69" s="71">
        <f t="shared" si="65"/>
        <v>4.0630275669199974E-07</v>
      </c>
      <c r="O69" s="167">
        <f t="shared" si="66"/>
        <v>0</v>
      </c>
      <c r="P69" s="112"/>
      <c r="Q69" s="124">
        <f t="shared" si="38"/>
        <v>-22.30227530712135</v>
      </c>
      <c r="R69" s="124">
        <f t="shared" si="19"/>
        <v>99.88950846342031</v>
      </c>
      <c r="S69" s="124">
        <f t="shared" si="20"/>
        <v>13.318601128456041</v>
      </c>
      <c r="U69" s="203"/>
      <c r="V69" s="203"/>
      <c r="W69" s="203"/>
      <c r="X69" s="204"/>
      <c r="Y69" s="69"/>
      <c r="Z69" s="69"/>
      <c r="AA69" s="319">
        <f t="shared" si="67"/>
        <v>1</v>
      </c>
      <c r="AB69" s="69">
        <f t="shared" si="68"/>
        <v>-4.0630275669199974E-07</v>
      </c>
      <c r="AC69" s="320">
        <f t="shared" si="69"/>
        <v>0</v>
      </c>
      <c r="AD69" s="69"/>
      <c r="AE69" s="244"/>
      <c r="AF69" s="239"/>
      <c r="AG69" s="239"/>
      <c r="AH69" s="239"/>
      <c r="AI69" s="244"/>
      <c r="AJ69" s="244"/>
      <c r="AK69" s="244"/>
      <c r="AL69" s="244"/>
      <c r="AM69" s="244"/>
      <c r="AN69" s="244"/>
      <c r="AO69" s="321">
        <f t="shared" si="70"/>
        <v>1</v>
      </c>
      <c r="AP69" s="73">
        <f t="shared" si="71"/>
        <v>0</v>
      </c>
      <c r="AQ69" s="322">
        <f t="shared" si="72"/>
        <v>0.0019418059042485586</v>
      </c>
      <c r="AR69" s="323">
        <f t="shared" si="73"/>
        <v>0.0019413996014918666</v>
      </c>
      <c r="AS69" s="235"/>
      <c r="AT69" s="239"/>
      <c r="AU69" s="239"/>
      <c r="AV69" s="239"/>
      <c r="AW69" s="239"/>
      <c r="AX69" s="239"/>
      <c r="AY69" s="239"/>
      <c r="AZ69" s="239"/>
      <c r="BA69" s="239"/>
      <c r="BB69" s="319">
        <f t="shared" si="74"/>
        <v>1</v>
      </c>
      <c r="BC69" s="69">
        <f t="shared" si="39"/>
        <v>135</v>
      </c>
      <c r="BD69" s="320">
        <f t="shared" si="75"/>
        <v>134.97078195078078</v>
      </c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CA69" s="162">
        <f t="shared" si="76"/>
        <v>1</v>
      </c>
      <c r="CB69" s="162">
        <f t="shared" si="77"/>
        <v>0</v>
      </c>
      <c r="CC69" s="162">
        <f t="shared" si="78"/>
        <v>0</v>
      </c>
      <c r="CD69" s="162">
        <f t="shared" si="79"/>
        <v>0</v>
      </c>
      <c r="CE69" s="162">
        <f t="shared" si="80"/>
        <v>0</v>
      </c>
      <c r="CF69" s="162">
        <f t="shared" si="81"/>
        <v>0</v>
      </c>
      <c r="CG69" s="162">
        <f t="shared" si="82"/>
        <v>0</v>
      </c>
      <c r="CH69" s="162">
        <f t="shared" si="83"/>
        <v>0</v>
      </c>
      <c r="CI69" s="162">
        <f t="shared" si="84"/>
        <v>0</v>
      </c>
      <c r="CJ69" s="162">
        <f t="shared" si="85"/>
        <v>0</v>
      </c>
      <c r="CK69" s="162">
        <f t="shared" si="86"/>
        <v>0</v>
      </c>
      <c r="CL69" s="162">
        <f t="shared" si="87"/>
        <v>0</v>
      </c>
      <c r="CM69" s="162">
        <f t="shared" si="88"/>
        <v>0</v>
      </c>
      <c r="CN69" s="162">
        <f t="shared" si="89"/>
        <v>0</v>
      </c>
      <c r="CO69" s="162">
        <f t="shared" si="90"/>
        <v>1</v>
      </c>
      <c r="CP69" s="163">
        <f t="shared" si="42"/>
        <v>134.97078195078078</v>
      </c>
      <c r="CQ69" s="164"/>
      <c r="CR69" s="164"/>
      <c r="CS69" s="164"/>
      <c r="CT69" s="164"/>
      <c r="CU69" s="164"/>
      <c r="CV69" s="164"/>
      <c r="CW69" s="165">
        <f t="shared" si="91"/>
        <v>0</v>
      </c>
      <c r="CX69" s="165">
        <f t="shared" si="92"/>
        <v>376.47922508222666</v>
      </c>
      <c r="CY69" s="162">
        <f t="shared" si="93"/>
        <v>1</v>
      </c>
      <c r="CZ69" s="164"/>
    </row>
    <row r="70" spans="1:104" ht="12.75">
      <c r="A70" s="239"/>
      <c r="B70" s="166">
        <v>1</v>
      </c>
      <c r="C70" s="114">
        <v>1</v>
      </c>
      <c r="D70" s="233">
        <f t="shared" si="13"/>
        <v>9</v>
      </c>
      <c r="E70" s="157">
        <v>1</v>
      </c>
      <c r="F70" s="157">
        <v>0</v>
      </c>
      <c r="G70" s="464">
        <f t="shared" si="35"/>
        <v>13.310132680193936</v>
      </c>
      <c r="H70" s="195">
        <f t="shared" si="36"/>
        <v>0.0019405712338296025</v>
      </c>
      <c r="I70" s="71">
        <f t="shared" si="60"/>
        <v>-0.0019405712338296025</v>
      </c>
      <c r="J70" s="71">
        <f t="shared" si="61"/>
        <v>-0.031161782740449027</v>
      </c>
      <c r="K70" s="73">
        <f t="shared" si="62"/>
        <v>134.96884181348915</v>
      </c>
      <c r="L70" s="73">
        <f t="shared" si="63"/>
        <v>-0.0019401372916263426</v>
      </c>
      <c r="M70" s="71">
        <f t="shared" si="64"/>
        <v>0.0019401372916263426</v>
      </c>
      <c r="N70" s="71">
        <f t="shared" si="65"/>
        <v>4.339422032598444E-07</v>
      </c>
      <c r="O70" s="167">
        <f t="shared" si="66"/>
        <v>0</v>
      </c>
      <c r="P70" s="112"/>
      <c r="Q70" s="124">
        <f t="shared" si="38"/>
        <v>-22.174235285166493</v>
      </c>
      <c r="R70" s="124">
        <f t="shared" si="19"/>
        <v>99.82599510145452</v>
      </c>
      <c r="S70" s="124">
        <f t="shared" si="20"/>
        <v>13.310132680193936</v>
      </c>
      <c r="U70" s="203"/>
      <c r="V70" s="203"/>
      <c r="W70" s="203"/>
      <c r="X70" s="204"/>
      <c r="Y70" s="69"/>
      <c r="Z70" s="69"/>
      <c r="AA70" s="319">
        <f t="shared" si="67"/>
        <v>1</v>
      </c>
      <c r="AB70" s="69">
        <f t="shared" si="68"/>
        <v>-4.339422032598444E-07</v>
      </c>
      <c r="AC70" s="320">
        <f t="shared" si="69"/>
        <v>0</v>
      </c>
      <c r="AD70" s="69"/>
      <c r="AE70" s="244"/>
      <c r="AF70" s="239"/>
      <c r="AG70" s="239"/>
      <c r="AH70" s="239"/>
      <c r="AI70" s="244"/>
      <c r="AJ70" s="244"/>
      <c r="AK70" s="244"/>
      <c r="AL70" s="244"/>
      <c r="AM70" s="244"/>
      <c r="AN70" s="244"/>
      <c r="AO70" s="321">
        <f t="shared" si="70"/>
        <v>1</v>
      </c>
      <c r="AP70" s="73">
        <f t="shared" si="71"/>
        <v>0</v>
      </c>
      <c r="AQ70" s="322">
        <f t="shared" si="72"/>
        <v>0.0019405712338296025</v>
      </c>
      <c r="AR70" s="323">
        <f t="shared" si="73"/>
        <v>0.0019401372916263426</v>
      </c>
      <c r="AS70" s="235"/>
      <c r="AT70" s="239"/>
      <c r="AU70" s="239"/>
      <c r="AV70" s="239"/>
      <c r="AW70" s="239"/>
      <c r="AX70" s="239"/>
      <c r="AY70" s="239"/>
      <c r="AZ70" s="239"/>
      <c r="BA70" s="239"/>
      <c r="BB70" s="319">
        <f t="shared" si="74"/>
        <v>1</v>
      </c>
      <c r="BC70" s="69">
        <f t="shared" si="39"/>
        <v>135</v>
      </c>
      <c r="BD70" s="320">
        <f t="shared" si="75"/>
        <v>134.96884181348915</v>
      </c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CA70" s="162">
        <f t="shared" si="76"/>
        <v>1</v>
      </c>
      <c r="CB70" s="162">
        <f t="shared" si="77"/>
        <v>0</v>
      </c>
      <c r="CC70" s="162">
        <f t="shared" si="78"/>
        <v>0</v>
      </c>
      <c r="CD70" s="162">
        <f t="shared" si="79"/>
        <v>0</v>
      </c>
      <c r="CE70" s="162">
        <f t="shared" si="80"/>
        <v>0</v>
      </c>
      <c r="CF70" s="162">
        <f t="shared" si="81"/>
        <v>0</v>
      </c>
      <c r="CG70" s="162">
        <f t="shared" si="82"/>
        <v>0</v>
      </c>
      <c r="CH70" s="162">
        <f t="shared" si="83"/>
        <v>0</v>
      </c>
      <c r="CI70" s="162">
        <f t="shared" si="84"/>
        <v>0</v>
      </c>
      <c r="CJ70" s="162">
        <f t="shared" si="85"/>
        <v>0</v>
      </c>
      <c r="CK70" s="162">
        <f t="shared" si="86"/>
        <v>0</v>
      </c>
      <c r="CL70" s="162">
        <f t="shared" si="87"/>
        <v>0</v>
      </c>
      <c r="CM70" s="162">
        <f t="shared" si="88"/>
        <v>0</v>
      </c>
      <c r="CN70" s="162">
        <f t="shared" si="89"/>
        <v>0</v>
      </c>
      <c r="CO70" s="162">
        <f t="shared" si="90"/>
        <v>1</v>
      </c>
      <c r="CP70" s="163">
        <f t="shared" si="42"/>
        <v>134.96884181348915</v>
      </c>
      <c r="CQ70" s="164"/>
      <c r="CR70" s="164"/>
      <c r="CS70" s="164"/>
      <c r="CT70" s="164"/>
      <c r="CU70" s="164"/>
      <c r="CV70" s="164"/>
      <c r="CW70" s="165">
        <f t="shared" si="91"/>
        <v>0</v>
      </c>
      <c r="CX70" s="165">
        <f t="shared" si="92"/>
        <v>376.47922508222666</v>
      </c>
      <c r="CY70" s="162">
        <f t="shared" si="93"/>
        <v>1</v>
      </c>
      <c r="CZ70" s="164"/>
    </row>
    <row r="71" spans="1:104" ht="12.75">
      <c r="A71" s="239"/>
      <c r="B71" s="166">
        <v>1</v>
      </c>
      <c r="C71" s="114">
        <v>1</v>
      </c>
      <c r="D71" s="233">
        <f t="shared" si="13"/>
        <v>10</v>
      </c>
      <c r="E71" s="157">
        <v>1</v>
      </c>
      <c r="F71" s="157">
        <v>0</v>
      </c>
      <c r="G71" s="464">
        <f t="shared" si="35"/>
        <v>13.301248015772805</v>
      </c>
      <c r="H71" s="195">
        <f t="shared" si="36"/>
        <v>0.0019392758805365784</v>
      </c>
      <c r="I71" s="71">
        <f t="shared" si="60"/>
        <v>-0.0019392758805365784</v>
      </c>
      <c r="J71" s="71">
        <f t="shared" si="61"/>
        <v>-0.033101058620985606</v>
      </c>
      <c r="K71" s="73">
        <f t="shared" si="62"/>
        <v>134.96690299912174</v>
      </c>
      <c r="L71" s="73">
        <f t="shared" si="63"/>
        <v>-0.001938814367406394</v>
      </c>
      <c r="M71" s="71">
        <f t="shared" si="64"/>
        <v>0.001938814367406394</v>
      </c>
      <c r="N71" s="71">
        <f t="shared" si="65"/>
        <v>4.615131301843878E-07</v>
      </c>
      <c r="O71" s="167">
        <f t="shared" si="66"/>
        <v>0</v>
      </c>
      <c r="P71" s="112"/>
      <c r="Q71" s="124">
        <f t="shared" si="38"/>
        <v>-22.039624558737447</v>
      </c>
      <c r="R71" s="124">
        <f t="shared" si="19"/>
        <v>99.75936011829603</v>
      </c>
      <c r="S71" s="124">
        <f t="shared" si="20"/>
        <v>13.301248015772805</v>
      </c>
      <c r="U71" s="203"/>
      <c r="V71" s="203"/>
      <c r="W71" s="203"/>
      <c r="X71" s="204"/>
      <c r="Y71" s="69"/>
      <c r="Z71" s="69"/>
      <c r="AA71" s="319">
        <f t="shared" si="67"/>
        <v>1</v>
      </c>
      <c r="AB71" s="69">
        <f t="shared" si="68"/>
        <v>-4.615131301843878E-07</v>
      </c>
      <c r="AC71" s="320">
        <f t="shared" si="69"/>
        <v>0</v>
      </c>
      <c r="AD71" s="69"/>
      <c r="AE71" s="244"/>
      <c r="AF71" s="239"/>
      <c r="AG71" s="239"/>
      <c r="AH71" s="239"/>
      <c r="AI71" s="244"/>
      <c r="AJ71" s="244"/>
      <c r="AK71" s="244"/>
      <c r="AL71" s="244"/>
      <c r="AM71" s="244"/>
      <c r="AN71" s="244"/>
      <c r="AO71" s="321">
        <f t="shared" si="70"/>
        <v>1</v>
      </c>
      <c r="AP71" s="73">
        <f t="shared" si="71"/>
        <v>0</v>
      </c>
      <c r="AQ71" s="322">
        <f t="shared" si="72"/>
        <v>0.0019392758805365784</v>
      </c>
      <c r="AR71" s="323">
        <f t="shared" si="73"/>
        <v>0.001938814367406394</v>
      </c>
      <c r="AS71" s="235"/>
      <c r="AT71" s="239"/>
      <c r="AU71" s="239"/>
      <c r="AV71" s="239"/>
      <c r="AW71" s="239"/>
      <c r="AX71" s="239"/>
      <c r="AY71" s="239"/>
      <c r="AZ71" s="239"/>
      <c r="BA71" s="239"/>
      <c r="BB71" s="319">
        <f t="shared" si="74"/>
        <v>1</v>
      </c>
      <c r="BC71" s="69">
        <f t="shared" si="39"/>
        <v>135</v>
      </c>
      <c r="BD71" s="320">
        <f t="shared" si="75"/>
        <v>134.96690299912174</v>
      </c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CA71" s="162">
        <f t="shared" si="76"/>
        <v>1</v>
      </c>
      <c r="CB71" s="162">
        <f t="shared" si="77"/>
        <v>0</v>
      </c>
      <c r="CC71" s="162">
        <f t="shared" si="78"/>
        <v>0</v>
      </c>
      <c r="CD71" s="162">
        <f t="shared" si="79"/>
        <v>0</v>
      </c>
      <c r="CE71" s="162">
        <f t="shared" si="80"/>
        <v>0</v>
      </c>
      <c r="CF71" s="162">
        <f t="shared" si="81"/>
        <v>0</v>
      </c>
      <c r="CG71" s="162">
        <f t="shared" si="82"/>
        <v>0</v>
      </c>
      <c r="CH71" s="162">
        <f t="shared" si="83"/>
        <v>0</v>
      </c>
      <c r="CI71" s="162">
        <f t="shared" si="84"/>
        <v>0</v>
      </c>
      <c r="CJ71" s="162">
        <f t="shared" si="85"/>
        <v>0</v>
      </c>
      <c r="CK71" s="162">
        <f t="shared" si="86"/>
        <v>0</v>
      </c>
      <c r="CL71" s="162">
        <f t="shared" si="87"/>
        <v>0</v>
      </c>
      <c r="CM71" s="162">
        <f t="shared" si="88"/>
        <v>0</v>
      </c>
      <c r="CN71" s="162">
        <f t="shared" si="89"/>
        <v>0</v>
      </c>
      <c r="CO71" s="162">
        <f t="shared" si="90"/>
        <v>1</v>
      </c>
      <c r="CP71" s="163">
        <f t="shared" si="42"/>
        <v>134.96690299912174</v>
      </c>
      <c r="CQ71" s="164"/>
      <c r="CR71" s="164"/>
      <c r="CS71" s="164"/>
      <c r="CT71" s="164"/>
      <c r="CU71" s="164"/>
      <c r="CV71" s="164"/>
      <c r="CW71" s="165">
        <f t="shared" si="91"/>
        <v>0</v>
      </c>
      <c r="CX71" s="165">
        <f t="shared" si="92"/>
        <v>376.47922508222666</v>
      </c>
      <c r="CY71" s="162">
        <f t="shared" si="93"/>
        <v>1</v>
      </c>
      <c r="CZ71" s="164"/>
    </row>
    <row r="72" spans="1:104" ht="12.75">
      <c r="A72" s="239"/>
      <c r="B72" s="166">
        <v>1</v>
      </c>
      <c r="C72" s="114">
        <v>1</v>
      </c>
      <c r="D72" s="233">
        <f t="shared" si="13"/>
        <v>11</v>
      </c>
      <c r="E72" s="157">
        <v>1</v>
      </c>
      <c r="F72" s="157">
        <v>0</v>
      </c>
      <c r="G72" s="464">
        <f t="shared" si="35"/>
        <v>13.291952333302426</v>
      </c>
      <c r="H72" s="195">
        <f t="shared" si="36"/>
        <v>0.0019379206022358839</v>
      </c>
      <c r="I72" s="71">
        <f t="shared" si="60"/>
        <v>-0.0019379206022358839</v>
      </c>
      <c r="J72" s="71">
        <f t="shared" si="61"/>
        <v>-0.03503897922322149</v>
      </c>
      <c r="K72" s="73">
        <f t="shared" si="62"/>
        <v>134.9649655675318</v>
      </c>
      <c r="L72" s="73">
        <f t="shared" si="63"/>
        <v>-0.0019374315899369776</v>
      </c>
      <c r="M72" s="71">
        <f t="shared" si="64"/>
        <v>0.0019374315899369776</v>
      </c>
      <c r="N72" s="71">
        <f t="shared" si="65"/>
        <v>4.890122989062527E-07</v>
      </c>
      <c r="O72" s="167">
        <f t="shared" si="66"/>
        <v>0</v>
      </c>
      <c r="P72" s="112"/>
      <c r="Q72" s="124">
        <f t="shared" si="38"/>
        <v>-21.898483015897597</v>
      </c>
      <c r="R72" s="124">
        <f t="shared" si="19"/>
        <v>99.6896424997682</v>
      </c>
      <c r="S72" s="124">
        <f t="shared" si="20"/>
        <v>13.291952333302426</v>
      </c>
      <c r="U72" s="203"/>
      <c r="V72" s="203"/>
      <c r="W72" s="203"/>
      <c r="X72" s="204"/>
      <c r="Y72" s="69"/>
      <c r="Z72" s="69"/>
      <c r="AA72" s="319">
        <f t="shared" si="67"/>
        <v>1</v>
      </c>
      <c r="AB72" s="69">
        <f t="shared" si="68"/>
        <v>-4.890122989062527E-07</v>
      </c>
      <c r="AC72" s="320">
        <f t="shared" si="69"/>
        <v>0</v>
      </c>
      <c r="AD72" s="69"/>
      <c r="AE72" s="244"/>
      <c r="AF72" s="239"/>
      <c r="AG72" s="239"/>
      <c r="AH72" s="239"/>
      <c r="AI72" s="244"/>
      <c r="AJ72" s="244"/>
      <c r="AK72" s="244"/>
      <c r="AL72" s="244"/>
      <c r="AM72" s="244"/>
      <c r="AN72" s="244"/>
      <c r="AO72" s="321">
        <f t="shared" si="70"/>
        <v>1</v>
      </c>
      <c r="AP72" s="73">
        <f t="shared" si="71"/>
        <v>0</v>
      </c>
      <c r="AQ72" s="322">
        <f t="shared" si="72"/>
        <v>0.0019379206022358839</v>
      </c>
      <c r="AR72" s="323">
        <f t="shared" si="73"/>
        <v>0.0019374315899369776</v>
      </c>
      <c r="AS72" s="235"/>
      <c r="AT72" s="239"/>
      <c r="AU72" s="239"/>
      <c r="AV72" s="239"/>
      <c r="AW72" s="239"/>
      <c r="AX72" s="239"/>
      <c r="AY72" s="239"/>
      <c r="AZ72" s="239"/>
      <c r="BA72" s="239"/>
      <c r="BB72" s="319">
        <f t="shared" si="74"/>
        <v>1</v>
      </c>
      <c r="BC72" s="69">
        <f t="shared" si="39"/>
        <v>135</v>
      </c>
      <c r="BD72" s="320">
        <f t="shared" si="75"/>
        <v>134.9649655675318</v>
      </c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CA72" s="162">
        <f t="shared" si="76"/>
        <v>1</v>
      </c>
      <c r="CB72" s="162">
        <f t="shared" si="77"/>
        <v>0</v>
      </c>
      <c r="CC72" s="162">
        <f t="shared" si="78"/>
        <v>0</v>
      </c>
      <c r="CD72" s="162">
        <f t="shared" si="79"/>
        <v>0</v>
      </c>
      <c r="CE72" s="162">
        <f t="shared" si="80"/>
        <v>0</v>
      </c>
      <c r="CF72" s="162">
        <f t="shared" si="81"/>
        <v>0</v>
      </c>
      <c r="CG72" s="162">
        <f t="shared" si="82"/>
        <v>0</v>
      </c>
      <c r="CH72" s="162">
        <f t="shared" si="83"/>
        <v>0</v>
      </c>
      <c r="CI72" s="162">
        <f t="shared" si="84"/>
        <v>0</v>
      </c>
      <c r="CJ72" s="162">
        <f t="shared" si="85"/>
        <v>0</v>
      </c>
      <c r="CK72" s="162">
        <f t="shared" si="86"/>
        <v>0</v>
      </c>
      <c r="CL72" s="162">
        <f t="shared" si="87"/>
        <v>0</v>
      </c>
      <c r="CM72" s="162">
        <f t="shared" si="88"/>
        <v>0</v>
      </c>
      <c r="CN72" s="162">
        <f t="shared" si="89"/>
        <v>0</v>
      </c>
      <c r="CO72" s="162">
        <f t="shared" si="90"/>
        <v>1</v>
      </c>
      <c r="CP72" s="163">
        <f t="shared" si="42"/>
        <v>134.9649655675318</v>
      </c>
      <c r="CQ72" s="164"/>
      <c r="CR72" s="164"/>
      <c r="CS72" s="164"/>
      <c r="CT72" s="164"/>
      <c r="CU72" s="164"/>
      <c r="CV72" s="164"/>
      <c r="CW72" s="165">
        <f t="shared" si="91"/>
        <v>0</v>
      </c>
      <c r="CX72" s="165">
        <f t="shared" si="92"/>
        <v>376.47922508222666</v>
      </c>
      <c r="CY72" s="162">
        <f t="shared" si="93"/>
        <v>1</v>
      </c>
      <c r="CZ72" s="164"/>
    </row>
    <row r="73" spans="1:104" ht="12.75">
      <c r="A73" s="239"/>
      <c r="B73" s="166">
        <v>1</v>
      </c>
      <c r="C73" s="114">
        <v>1</v>
      </c>
      <c r="D73" s="233">
        <f t="shared" si="13"/>
        <v>12</v>
      </c>
      <c r="E73" s="157">
        <v>1</v>
      </c>
      <c r="F73" s="157">
        <v>0</v>
      </c>
      <c r="G73" s="464">
        <f t="shared" si="35"/>
        <v>13.282251016656826</v>
      </c>
      <c r="H73" s="195">
        <f t="shared" si="36"/>
        <v>0.0019365061838777003</v>
      </c>
      <c r="I73" s="71">
        <f t="shared" si="60"/>
        <v>-0.0019365061838777003</v>
      </c>
      <c r="J73" s="71">
        <f t="shared" si="61"/>
        <v>-0.03697548540709919</v>
      </c>
      <c r="K73" s="73">
        <f t="shared" si="62"/>
        <v>134.96302957778443</v>
      </c>
      <c r="L73" s="73">
        <f t="shared" si="63"/>
        <v>-0.0019359897473805177</v>
      </c>
      <c r="M73" s="71">
        <f t="shared" si="64"/>
        <v>0.0019359897473805177</v>
      </c>
      <c r="N73" s="71">
        <f t="shared" si="65"/>
        <v>5.164364971826842E-07</v>
      </c>
      <c r="O73" s="167">
        <f t="shared" si="66"/>
        <v>0</v>
      </c>
      <c r="P73" s="112"/>
      <c r="Q73" s="124">
        <f t="shared" si="38"/>
        <v>-21.75085247993216</v>
      </c>
      <c r="R73" s="124">
        <f t="shared" si="19"/>
        <v>99.61688262492619</v>
      </c>
      <c r="S73" s="124">
        <f t="shared" si="20"/>
        <v>13.282251016656826</v>
      </c>
      <c r="U73" s="203"/>
      <c r="V73" s="203"/>
      <c r="W73" s="203"/>
      <c r="X73" s="204"/>
      <c r="Y73" s="69"/>
      <c r="Z73" s="69"/>
      <c r="AA73" s="319">
        <f t="shared" si="67"/>
        <v>1</v>
      </c>
      <c r="AB73" s="69">
        <f t="shared" si="68"/>
        <v>-5.164364971826842E-07</v>
      </c>
      <c r="AC73" s="320">
        <f t="shared" si="69"/>
        <v>0</v>
      </c>
      <c r="AD73" s="69"/>
      <c r="AE73" s="244"/>
      <c r="AF73" s="239"/>
      <c r="AG73" s="239"/>
      <c r="AH73" s="239"/>
      <c r="AI73" s="244"/>
      <c r="AJ73" s="244"/>
      <c r="AK73" s="244"/>
      <c r="AL73" s="244"/>
      <c r="AM73" s="244"/>
      <c r="AN73" s="244"/>
      <c r="AO73" s="321">
        <f t="shared" si="70"/>
        <v>1</v>
      </c>
      <c r="AP73" s="73">
        <f t="shared" si="71"/>
        <v>0</v>
      </c>
      <c r="AQ73" s="322">
        <f t="shared" si="72"/>
        <v>0.0019365061838777003</v>
      </c>
      <c r="AR73" s="323">
        <f t="shared" si="73"/>
        <v>0.0019359897473805177</v>
      </c>
      <c r="AS73" s="235"/>
      <c r="AT73" s="239"/>
      <c r="AU73" s="239"/>
      <c r="AV73" s="239"/>
      <c r="AW73" s="239"/>
      <c r="AX73" s="239"/>
      <c r="AY73" s="239"/>
      <c r="AZ73" s="239"/>
      <c r="BA73" s="239"/>
      <c r="BB73" s="319">
        <f t="shared" si="74"/>
        <v>1</v>
      </c>
      <c r="BC73" s="69">
        <f t="shared" si="39"/>
        <v>135</v>
      </c>
      <c r="BD73" s="320">
        <f t="shared" si="75"/>
        <v>134.96302957778443</v>
      </c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CA73" s="162">
        <f t="shared" si="76"/>
        <v>1</v>
      </c>
      <c r="CB73" s="162">
        <f t="shared" si="77"/>
        <v>0</v>
      </c>
      <c r="CC73" s="162">
        <f t="shared" si="78"/>
        <v>0</v>
      </c>
      <c r="CD73" s="162">
        <f t="shared" si="79"/>
        <v>0</v>
      </c>
      <c r="CE73" s="162">
        <f t="shared" si="80"/>
        <v>0</v>
      </c>
      <c r="CF73" s="162">
        <f t="shared" si="81"/>
        <v>0</v>
      </c>
      <c r="CG73" s="162">
        <f t="shared" si="82"/>
        <v>0</v>
      </c>
      <c r="CH73" s="162">
        <f t="shared" si="83"/>
        <v>0</v>
      </c>
      <c r="CI73" s="162">
        <f t="shared" si="84"/>
        <v>0</v>
      </c>
      <c r="CJ73" s="162">
        <f t="shared" si="85"/>
        <v>0</v>
      </c>
      <c r="CK73" s="162">
        <f t="shared" si="86"/>
        <v>0</v>
      </c>
      <c r="CL73" s="162">
        <f t="shared" si="87"/>
        <v>0</v>
      </c>
      <c r="CM73" s="162">
        <f t="shared" si="88"/>
        <v>0</v>
      </c>
      <c r="CN73" s="162">
        <f t="shared" si="89"/>
        <v>0</v>
      </c>
      <c r="CO73" s="162">
        <f t="shared" si="90"/>
        <v>1</v>
      </c>
      <c r="CP73" s="163">
        <f t="shared" si="42"/>
        <v>134.96302957778443</v>
      </c>
      <c r="CQ73" s="164"/>
      <c r="CR73" s="164"/>
      <c r="CS73" s="164"/>
      <c r="CT73" s="164"/>
      <c r="CU73" s="164"/>
      <c r="CV73" s="164"/>
      <c r="CW73" s="165">
        <f t="shared" si="91"/>
        <v>0</v>
      </c>
      <c r="CX73" s="165">
        <f t="shared" si="92"/>
        <v>376.47922508222666</v>
      </c>
      <c r="CY73" s="162">
        <f t="shared" si="93"/>
        <v>1</v>
      </c>
      <c r="CZ73" s="164"/>
    </row>
    <row r="74" spans="1:104" ht="12.75">
      <c r="A74" s="239"/>
      <c r="B74" s="166">
        <v>1</v>
      </c>
      <c r="C74" s="114">
        <v>1</v>
      </c>
      <c r="D74" s="233">
        <f t="shared" si="13"/>
        <v>13</v>
      </c>
      <c r="E74" s="157">
        <v>1</v>
      </c>
      <c r="F74" s="157">
        <v>0</v>
      </c>
      <c r="G74" s="464">
        <f t="shared" si="35"/>
        <v>13.27214962551616</v>
      </c>
      <c r="H74" s="195">
        <f t="shared" si="36"/>
        <v>0.001935033436044134</v>
      </c>
      <c r="I74" s="71">
        <f t="shared" si="60"/>
        <v>-0.001935033436044134</v>
      </c>
      <c r="J74" s="71">
        <f t="shared" si="61"/>
        <v>-0.038910518843143324</v>
      </c>
      <c r="K74" s="73">
        <f t="shared" si="62"/>
        <v>134.96109508813103</v>
      </c>
      <c r="L74" s="73">
        <f t="shared" si="63"/>
        <v>-0.0019344896533937117</v>
      </c>
      <c r="M74" s="71">
        <f t="shared" si="64"/>
        <v>0.0019344896533937117</v>
      </c>
      <c r="N74" s="71">
        <f t="shared" si="65"/>
        <v>5.437826504223198E-07</v>
      </c>
      <c r="O74" s="167">
        <f t="shared" si="66"/>
        <v>0</v>
      </c>
      <c r="P74" s="112"/>
      <c r="Q74" s="124">
        <f t="shared" si="38"/>
        <v>-21.596776696955082</v>
      </c>
      <c r="R74" s="124">
        <f t="shared" si="19"/>
        <v>99.5411221913712</v>
      </c>
      <c r="S74" s="124">
        <f t="shared" si="20"/>
        <v>13.27214962551616</v>
      </c>
      <c r="U74" s="203"/>
      <c r="V74" s="203"/>
      <c r="W74" s="203"/>
      <c r="X74" s="204"/>
      <c r="Y74" s="69"/>
      <c r="Z74" s="69"/>
      <c r="AA74" s="319">
        <f t="shared" si="67"/>
        <v>1</v>
      </c>
      <c r="AB74" s="69">
        <f t="shared" si="68"/>
        <v>-5.437826504223198E-07</v>
      </c>
      <c r="AC74" s="320">
        <f t="shared" si="69"/>
        <v>0</v>
      </c>
      <c r="AD74" s="69"/>
      <c r="AE74" s="244"/>
      <c r="AF74" s="239"/>
      <c r="AG74" s="239"/>
      <c r="AH74" s="239"/>
      <c r="AI74" s="244"/>
      <c r="AJ74" s="244"/>
      <c r="AK74" s="244"/>
      <c r="AL74" s="244"/>
      <c r="AM74" s="244"/>
      <c r="AN74" s="244"/>
      <c r="AO74" s="321">
        <f t="shared" si="70"/>
        <v>1</v>
      </c>
      <c r="AP74" s="73">
        <f t="shared" si="71"/>
        <v>0</v>
      </c>
      <c r="AQ74" s="322">
        <f t="shared" si="72"/>
        <v>0.001935033436044134</v>
      </c>
      <c r="AR74" s="323">
        <f t="shared" si="73"/>
        <v>0.0019344896533937117</v>
      </c>
      <c r="AS74" s="235"/>
      <c r="AT74" s="239"/>
      <c r="AU74" s="239"/>
      <c r="AV74" s="239"/>
      <c r="AW74" s="239"/>
      <c r="AX74" s="239"/>
      <c r="AY74" s="239"/>
      <c r="AZ74" s="239"/>
      <c r="BA74" s="239"/>
      <c r="BB74" s="319">
        <f t="shared" si="74"/>
        <v>1</v>
      </c>
      <c r="BC74" s="69">
        <f t="shared" si="39"/>
        <v>135</v>
      </c>
      <c r="BD74" s="320">
        <f t="shared" si="75"/>
        <v>134.96109508813103</v>
      </c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CA74" s="162">
        <f t="shared" si="76"/>
        <v>1</v>
      </c>
      <c r="CB74" s="162">
        <f t="shared" si="77"/>
        <v>0</v>
      </c>
      <c r="CC74" s="162">
        <f t="shared" si="78"/>
        <v>0</v>
      </c>
      <c r="CD74" s="162">
        <f t="shared" si="79"/>
        <v>0</v>
      </c>
      <c r="CE74" s="162">
        <f t="shared" si="80"/>
        <v>0</v>
      </c>
      <c r="CF74" s="162">
        <f t="shared" si="81"/>
        <v>0</v>
      </c>
      <c r="CG74" s="162">
        <f t="shared" si="82"/>
        <v>0</v>
      </c>
      <c r="CH74" s="162">
        <f t="shared" si="83"/>
        <v>0</v>
      </c>
      <c r="CI74" s="162">
        <f t="shared" si="84"/>
        <v>0</v>
      </c>
      <c r="CJ74" s="162">
        <f t="shared" si="85"/>
        <v>0</v>
      </c>
      <c r="CK74" s="162">
        <f t="shared" si="86"/>
        <v>0</v>
      </c>
      <c r="CL74" s="162">
        <f t="shared" si="87"/>
        <v>0</v>
      </c>
      <c r="CM74" s="162">
        <f t="shared" si="88"/>
        <v>0</v>
      </c>
      <c r="CN74" s="162">
        <f t="shared" si="89"/>
        <v>0</v>
      </c>
      <c r="CO74" s="162">
        <f t="shared" si="90"/>
        <v>1</v>
      </c>
      <c r="CP74" s="163">
        <f t="shared" si="42"/>
        <v>134.96109508813103</v>
      </c>
      <c r="CQ74" s="164"/>
      <c r="CR74" s="164"/>
      <c r="CS74" s="164"/>
      <c r="CT74" s="164"/>
      <c r="CU74" s="164"/>
      <c r="CV74" s="164"/>
      <c r="CW74" s="165">
        <f t="shared" si="91"/>
        <v>0</v>
      </c>
      <c r="CX74" s="165">
        <f t="shared" si="92"/>
        <v>376.47922508222666</v>
      </c>
      <c r="CY74" s="162">
        <f t="shared" si="93"/>
        <v>1</v>
      </c>
      <c r="CZ74" s="164"/>
    </row>
    <row r="75" spans="1:104" ht="12.75">
      <c r="A75" s="239"/>
      <c r="B75" s="166">
        <v>1</v>
      </c>
      <c r="C75" s="114">
        <v>1</v>
      </c>
      <c r="D75" s="233">
        <f t="shared" si="13"/>
        <v>14</v>
      </c>
      <c r="E75" s="157">
        <v>1</v>
      </c>
      <c r="F75" s="157">
        <v>0</v>
      </c>
      <c r="G75" s="464">
        <f t="shared" si="35"/>
        <v>13.261653885257774</v>
      </c>
      <c r="H75" s="195">
        <f t="shared" si="36"/>
        <v>0.0019335031934753668</v>
      </c>
      <c r="I75" s="71">
        <f t="shared" si="60"/>
        <v>-0.0019335031934753668</v>
      </c>
      <c r="J75" s="71">
        <f t="shared" si="61"/>
        <v>-0.04084402203661869</v>
      </c>
      <c r="K75" s="73">
        <f t="shared" si="62"/>
        <v>134.95916215598527</v>
      </c>
      <c r="L75" s="73">
        <f t="shared" si="63"/>
        <v>-0.0019329321457632886</v>
      </c>
      <c r="M75" s="71">
        <f t="shared" si="64"/>
        <v>0.0019329321457632886</v>
      </c>
      <c r="N75" s="71">
        <f t="shared" si="65"/>
        <v>5.710477120782036E-07</v>
      </c>
      <c r="O75" s="167">
        <f t="shared" si="66"/>
        <v>0</v>
      </c>
      <c r="P75" s="112"/>
      <c r="Q75" s="124">
        <f t="shared" si="38"/>
        <v>-21.436301322946075</v>
      </c>
      <c r="R75" s="124">
        <f t="shared" si="19"/>
        <v>99.4624041394333</v>
      </c>
      <c r="S75" s="124">
        <f t="shared" si="20"/>
        <v>13.261653885257774</v>
      </c>
      <c r="U75" s="203"/>
      <c r="V75" s="203"/>
      <c r="W75" s="203"/>
      <c r="X75" s="204"/>
      <c r="Y75" s="69"/>
      <c r="Z75" s="69"/>
      <c r="AA75" s="319">
        <f t="shared" si="67"/>
        <v>1</v>
      </c>
      <c r="AB75" s="69">
        <f t="shared" si="68"/>
        <v>-5.710477120782036E-07</v>
      </c>
      <c r="AC75" s="320">
        <f t="shared" si="69"/>
        <v>0</v>
      </c>
      <c r="AD75" s="69"/>
      <c r="AE75" s="244"/>
      <c r="AF75" s="239"/>
      <c r="AG75" s="239"/>
      <c r="AH75" s="239"/>
      <c r="AI75" s="244"/>
      <c r="AJ75" s="244"/>
      <c r="AK75" s="244"/>
      <c r="AL75" s="244"/>
      <c r="AM75" s="244"/>
      <c r="AN75" s="244"/>
      <c r="AO75" s="321">
        <f t="shared" si="70"/>
        <v>1</v>
      </c>
      <c r="AP75" s="73">
        <f t="shared" si="71"/>
        <v>0</v>
      </c>
      <c r="AQ75" s="322">
        <f t="shared" si="72"/>
        <v>0.0019335031934753668</v>
      </c>
      <c r="AR75" s="323">
        <f t="shared" si="73"/>
        <v>0.0019329321457632886</v>
      </c>
      <c r="AS75" s="235"/>
      <c r="AT75" s="239"/>
      <c r="AU75" s="239"/>
      <c r="AV75" s="239"/>
      <c r="AW75" s="239"/>
      <c r="AX75" s="239"/>
      <c r="AY75" s="239"/>
      <c r="AZ75" s="239"/>
      <c r="BA75" s="239"/>
      <c r="BB75" s="319">
        <f t="shared" si="74"/>
        <v>1</v>
      </c>
      <c r="BC75" s="69">
        <f t="shared" si="39"/>
        <v>135</v>
      </c>
      <c r="BD75" s="320">
        <f t="shared" si="75"/>
        <v>134.95916215598527</v>
      </c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CA75" s="162">
        <f t="shared" si="76"/>
        <v>1</v>
      </c>
      <c r="CB75" s="162">
        <f t="shared" si="77"/>
        <v>0</v>
      </c>
      <c r="CC75" s="162">
        <f t="shared" si="78"/>
        <v>0</v>
      </c>
      <c r="CD75" s="162">
        <f t="shared" si="79"/>
        <v>0</v>
      </c>
      <c r="CE75" s="162">
        <f t="shared" si="80"/>
        <v>0</v>
      </c>
      <c r="CF75" s="162">
        <f t="shared" si="81"/>
        <v>0</v>
      </c>
      <c r="CG75" s="162">
        <f t="shared" si="82"/>
        <v>0</v>
      </c>
      <c r="CH75" s="162">
        <f t="shared" si="83"/>
        <v>0</v>
      </c>
      <c r="CI75" s="162">
        <f t="shared" si="84"/>
        <v>0</v>
      </c>
      <c r="CJ75" s="162">
        <f t="shared" si="85"/>
        <v>0</v>
      </c>
      <c r="CK75" s="162">
        <f t="shared" si="86"/>
        <v>0</v>
      </c>
      <c r="CL75" s="162">
        <f t="shared" si="87"/>
        <v>0</v>
      </c>
      <c r="CM75" s="162">
        <f t="shared" si="88"/>
        <v>0</v>
      </c>
      <c r="CN75" s="162">
        <f t="shared" si="89"/>
        <v>0</v>
      </c>
      <c r="CO75" s="162">
        <f t="shared" si="90"/>
        <v>1</v>
      </c>
      <c r="CP75" s="163">
        <f t="shared" si="42"/>
        <v>134.95916215598527</v>
      </c>
      <c r="CQ75" s="164"/>
      <c r="CR75" s="164"/>
      <c r="CS75" s="164"/>
      <c r="CT75" s="164"/>
      <c r="CU75" s="164"/>
      <c r="CV75" s="164"/>
      <c r="CW75" s="165">
        <f t="shared" si="91"/>
        <v>0</v>
      </c>
      <c r="CX75" s="165">
        <f t="shared" si="92"/>
        <v>376.47922508222666</v>
      </c>
      <c r="CY75" s="162">
        <f t="shared" si="93"/>
        <v>1</v>
      </c>
      <c r="CZ75" s="164"/>
    </row>
    <row r="76" spans="1:104" ht="12.75">
      <c r="A76" s="239"/>
      <c r="B76" s="166">
        <v>1</v>
      </c>
      <c r="C76" s="114">
        <v>1</v>
      </c>
      <c r="D76" s="233">
        <f t="shared" si="13"/>
        <v>15</v>
      </c>
      <c r="E76" s="157">
        <v>1</v>
      </c>
      <c r="F76" s="157">
        <v>0</v>
      </c>
      <c r="G76" s="464">
        <f t="shared" si="35"/>
        <v>13.250769676732205</v>
      </c>
      <c r="H76" s="195">
        <f t="shared" si="36"/>
        <v>0.0019319163135790342</v>
      </c>
      <c r="I76" s="71">
        <f t="shared" si="60"/>
        <v>-0.0019319163135790342</v>
      </c>
      <c r="J76" s="71">
        <f t="shared" si="61"/>
        <v>-0.042775938350197724</v>
      </c>
      <c r="K76" s="73">
        <f t="shared" si="62"/>
        <v>134.95723083790037</v>
      </c>
      <c r="L76" s="73">
        <f t="shared" si="63"/>
        <v>-0.001931318084899658</v>
      </c>
      <c r="M76" s="71">
        <f t="shared" si="64"/>
        <v>0.001931318084899658</v>
      </c>
      <c r="N76" s="71">
        <f t="shared" si="65"/>
        <v>5.982286793760911E-07</v>
      </c>
      <c r="O76" s="167">
        <f t="shared" si="66"/>
        <v>0</v>
      </c>
      <c r="P76" s="112"/>
      <c r="Q76" s="124">
        <f t="shared" si="38"/>
        <v>-21.269473910221812</v>
      </c>
      <c r="R76" s="124">
        <f t="shared" si="19"/>
        <v>99.38077257549153</v>
      </c>
      <c r="S76" s="124">
        <f t="shared" si="20"/>
        <v>13.250769676732205</v>
      </c>
      <c r="U76" s="203"/>
      <c r="V76" s="203"/>
      <c r="W76" s="203"/>
      <c r="X76" s="204"/>
      <c r="Y76" s="69"/>
      <c r="Z76" s="69"/>
      <c r="AA76" s="319">
        <f t="shared" si="67"/>
        <v>1</v>
      </c>
      <c r="AB76" s="69">
        <f t="shared" si="68"/>
        <v>-5.982286793760911E-07</v>
      </c>
      <c r="AC76" s="320">
        <f t="shared" si="69"/>
        <v>0</v>
      </c>
      <c r="AD76" s="69"/>
      <c r="AE76" s="244"/>
      <c r="AF76" s="239"/>
      <c r="AG76" s="239"/>
      <c r="AH76" s="239"/>
      <c r="AI76" s="244"/>
      <c r="AJ76" s="244"/>
      <c r="AK76" s="244"/>
      <c r="AL76" s="244"/>
      <c r="AM76" s="244"/>
      <c r="AN76" s="244"/>
      <c r="AO76" s="321">
        <f t="shared" si="70"/>
        <v>1</v>
      </c>
      <c r="AP76" s="73">
        <f t="shared" si="71"/>
        <v>0</v>
      </c>
      <c r="AQ76" s="322">
        <f t="shared" si="72"/>
        <v>0.0019319163135790342</v>
      </c>
      <c r="AR76" s="323">
        <f t="shared" si="73"/>
        <v>0.001931318084899658</v>
      </c>
      <c r="AS76" s="235"/>
      <c r="AT76" s="239"/>
      <c r="AU76" s="239"/>
      <c r="AV76" s="239"/>
      <c r="AW76" s="239"/>
      <c r="AX76" s="239"/>
      <c r="AY76" s="239"/>
      <c r="AZ76" s="239"/>
      <c r="BA76" s="239"/>
      <c r="BB76" s="319">
        <f t="shared" si="74"/>
        <v>1</v>
      </c>
      <c r="BC76" s="69">
        <f t="shared" si="39"/>
        <v>135</v>
      </c>
      <c r="BD76" s="320">
        <f t="shared" si="75"/>
        <v>134.95723083790037</v>
      </c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CA76" s="162">
        <f t="shared" si="76"/>
        <v>1</v>
      </c>
      <c r="CB76" s="162">
        <f t="shared" si="77"/>
        <v>0</v>
      </c>
      <c r="CC76" s="162">
        <f t="shared" si="78"/>
        <v>0</v>
      </c>
      <c r="CD76" s="162">
        <f t="shared" si="79"/>
        <v>0</v>
      </c>
      <c r="CE76" s="162">
        <f t="shared" si="80"/>
        <v>0</v>
      </c>
      <c r="CF76" s="162">
        <f t="shared" si="81"/>
        <v>0</v>
      </c>
      <c r="CG76" s="162">
        <f t="shared" si="82"/>
        <v>0</v>
      </c>
      <c r="CH76" s="162">
        <f t="shared" si="83"/>
        <v>0</v>
      </c>
      <c r="CI76" s="162">
        <f t="shared" si="84"/>
        <v>0</v>
      </c>
      <c r="CJ76" s="162">
        <f t="shared" si="85"/>
        <v>0</v>
      </c>
      <c r="CK76" s="162">
        <f t="shared" si="86"/>
        <v>0</v>
      </c>
      <c r="CL76" s="162">
        <f t="shared" si="87"/>
        <v>0</v>
      </c>
      <c r="CM76" s="162">
        <f t="shared" si="88"/>
        <v>0</v>
      </c>
      <c r="CN76" s="162">
        <f t="shared" si="89"/>
        <v>0</v>
      </c>
      <c r="CO76" s="162">
        <f t="shared" si="90"/>
        <v>1</v>
      </c>
      <c r="CP76" s="163">
        <f t="shared" si="42"/>
        <v>134.95723083790037</v>
      </c>
      <c r="CQ76" s="164"/>
      <c r="CR76" s="164"/>
      <c r="CS76" s="164"/>
      <c r="CT76" s="164"/>
      <c r="CU76" s="164"/>
      <c r="CV76" s="164"/>
      <c r="CW76" s="165">
        <f t="shared" si="91"/>
        <v>0</v>
      </c>
      <c r="CX76" s="165">
        <f t="shared" si="92"/>
        <v>376.47922508222666</v>
      </c>
      <c r="CY76" s="162">
        <f t="shared" si="93"/>
        <v>1</v>
      </c>
      <c r="CZ76" s="164"/>
    </row>
    <row r="77" spans="1:104" ht="12.75">
      <c r="A77" s="239"/>
      <c r="B77" s="166">
        <v>1</v>
      </c>
      <c r="C77" s="114">
        <v>1</v>
      </c>
      <c r="D77" s="233">
        <f t="shared" si="13"/>
        <v>16</v>
      </c>
      <c r="E77" s="157">
        <v>1</v>
      </c>
      <c r="F77" s="157">
        <v>0</v>
      </c>
      <c r="G77" s="464">
        <f t="shared" si="35"/>
        <v>13.239503025959467</v>
      </c>
      <c r="H77" s="195">
        <f t="shared" si="36"/>
        <v>0.0019302736749279774</v>
      </c>
      <c r="I77" s="71">
        <f t="shared" si="60"/>
        <v>-0.0019302736749279774</v>
      </c>
      <c r="J77" s="71">
        <f t="shared" si="61"/>
        <v>-0.0447062120251257</v>
      </c>
      <c r="K77" s="73">
        <f t="shared" si="62"/>
        <v>134.95530118954818</v>
      </c>
      <c r="L77" s="73">
        <f t="shared" si="63"/>
        <v>-0.001929648352188451</v>
      </c>
      <c r="M77" s="71">
        <f t="shared" si="64"/>
        <v>0.001929648352188451</v>
      </c>
      <c r="N77" s="71">
        <f t="shared" si="65"/>
        <v>6.253227395262677E-07</v>
      </c>
      <c r="O77" s="167">
        <f t="shared" si="66"/>
        <v>0</v>
      </c>
      <c r="P77" s="112"/>
      <c r="Q77" s="124">
        <f t="shared" si="38"/>
        <v>-21.096343893345107</v>
      </c>
      <c r="R77" s="124">
        <f t="shared" si="19"/>
        <v>99.296272694696</v>
      </c>
      <c r="S77" s="124">
        <f t="shared" si="20"/>
        <v>13.239503025959467</v>
      </c>
      <c r="U77" s="203"/>
      <c r="V77" s="203"/>
      <c r="W77" s="203"/>
      <c r="X77" s="204"/>
      <c r="Y77" s="69"/>
      <c r="Z77" s="69"/>
      <c r="AA77" s="319">
        <f t="shared" si="67"/>
        <v>1</v>
      </c>
      <c r="AB77" s="69">
        <f t="shared" si="68"/>
        <v>-6.253227395262677E-07</v>
      </c>
      <c r="AC77" s="320">
        <f t="shared" si="69"/>
        <v>0</v>
      </c>
      <c r="AD77" s="69"/>
      <c r="AE77" s="244"/>
      <c r="AF77" s="239"/>
      <c r="AG77" s="239"/>
      <c r="AH77" s="239"/>
      <c r="AI77" s="244"/>
      <c r="AJ77" s="244"/>
      <c r="AK77" s="244"/>
      <c r="AL77" s="244"/>
      <c r="AM77" s="244"/>
      <c r="AN77" s="244"/>
      <c r="AO77" s="321">
        <f t="shared" si="70"/>
        <v>1</v>
      </c>
      <c r="AP77" s="73">
        <f t="shared" si="71"/>
        <v>0</v>
      </c>
      <c r="AQ77" s="322">
        <f t="shared" si="72"/>
        <v>0.0019302736749279774</v>
      </c>
      <c r="AR77" s="323">
        <f t="shared" si="73"/>
        <v>0.001929648352188451</v>
      </c>
      <c r="AS77" s="235"/>
      <c r="AT77" s="239"/>
      <c r="AU77" s="239"/>
      <c r="AV77" s="239"/>
      <c r="AW77" s="239"/>
      <c r="AX77" s="239"/>
      <c r="AY77" s="239"/>
      <c r="AZ77" s="239"/>
      <c r="BA77" s="239"/>
      <c r="BB77" s="319">
        <f t="shared" si="74"/>
        <v>1</v>
      </c>
      <c r="BC77" s="69">
        <f t="shared" si="39"/>
        <v>135</v>
      </c>
      <c r="BD77" s="320">
        <f t="shared" si="75"/>
        <v>134.95530118954818</v>
      </c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CA77" s="162">
        <f t="shared" si="76"/>
        <v>1</v>
      </c>
      <c r="CB77" s="162">
        <f t="shared" si="77"/>
        <v>0</v>
      </c>
      <c r="CC77" s="162">
        <f t="shared" si="78"/>
        <v>0</v>
      </c>
      <c r="CD77" s="162">
        <f t="shared" si="79"/>
        <v>0</v>
      </c>
      <c r="CE77" s="162">
        <f t="shared" si="80"/>
        <v>0</v>
      </c>
      <c r="CF77" s="162">
        <f t="shared" si="81"/>
        <v>0</v>
      </c>
      <c r="CG77" s="162">
        <f t="shared" si="82"/>
        <v>0</v>
      </c>
      <c r="CH77" s="162">
        <f t="shared" si="83"/>
        <v>0</v>
      </c>
      <c r="CI77" s="162">
        <f t="shared" si="84"/>
        <v>0</v>
      </c>
      <c r="CJ77" s="162">
        <f t="shared" si="85"/>
        <v>0</v>
      </c>
      <c r="CK77" s="162">
        <f t="shared" si="86"/>
        <v>0</v>
      </c>
      <c r="CL77" s="162">
        <f t="shared" si="87"/>
        <v>0</v>
      </c>
      <c r="CM77" s="162">
        <f t="shared" si="88"/>
        <v>0</v>
      </c>
      <c r="CN77" s="162">
        <f t="shared" si="89"/>
        <v>0</v>
      </c>
      <c r="CO77" s="162">
        <f t="shared" si="90"/>
        <v>1</v>
      </c>
      <c r="CP77" s="163">
        <f t="shared" si="42"/>
        <v>134.95530118954818</v>
      </c>
      <c r="CQ77" s="164"/>
      <c r="CR77" s="164"/>
      <c r="CS77" s="164"/>
      <c r="CT77" s="164"/>
      <c r="CU77" s="164"/>
      <c r="CV77" s="164"/>
      <c r="CW77" s="165">
        <f t="shared" si="91"/>
        <v>0</v>
      </c>
      <c r="CX77" s="165">
        <f t="shared" si="92"/>
        <v>376.47922508222666</v>
      </c>
      <c r="CY77" s="162">
        <f t="shared" si="93"/>
        <v>1</v>
      </c>
      <c r="CZ77" s="164"/>
    </row>
    <row r="78" spans="1:104" ht="12.75">
      <c r="A78" s="239"/>
      <c r="B78" s="166">
        <v>1</v>
      </c>
      <c r="C78" s="114">
        <v>1</v>
      </c>
      <c r="D78" s="233">
        <f t="shared" si="13"/>
        <v>17</v>
      </c>
      <c r="E78" s="157">
        <v>1</v>
      </c>
      <c r="F78" s="157">
        <v>0</v>
      </c>
      <c r="G78" s="464">
        <f t="shared" si="35"/>
        <v>13.227860093780391</v>
      </c>
      <c r="H78" s="195">
        <f t="shared" si="36"/>
        <v>0.0019285761757514468</v>
      </c>
      <c r="I78" s="71">
        <f t="shared" si="60"/>
        <v>-0.0019285761757514468</v>
      </c>
      <c r="J78" s="71">
        <f t="shared" si="61"/>
        <v>-0.04663478820087715</v>
      </c>
      <c r="K78" s="73">
        <f t="shared" si="62"/>
        <v>134.95337326569938</v>
      </c>
      <c r="L78" s="73">
        <f t="shared" si="63"/>
        <v>-0.0019279238487968087</v>
      </c>
      <c r="M78" s="71">
        <f t="shared" si="64"/>
        <v>0.0019279238487968087</v>
      </c>
      <c r="N78" s="71">
        <f t="shared" si="65"/>
        <v>6.523269546381341E-07</v>
      </c>
      <c r="O78" s="167">
        <f t="shared" si="66"/>
        <v>0</v>
      </c>
      <c r="P78" s="112"/>
      <c r="Q78" s="124">
        <f t="shared" si="38"/>
        <v>-20.91696257447641</v>
      </c>
      <c r="R78" s="124">
        <f t="shared" si="19"/>
        <v>99.20895070335294</v>
      </c>
      <c r="S78" s="124">
        <f t="shared" si="20"/>
        <v>13.227860093780391</v>
      </c>
      <c r="U78" s="203"/>
      <c r="V78" s="203"/>
      <c r="W78" s="203"/>
      <c r="X78" s="204"/>
      <c r="Y78" s="69"/>
      <c r="Z78" s="69"/>
      <c r="AA78" s="319">
        <f t="shared" si="67"/>
        <v>1</v>
      </c>
      <c r="AB78" s="69">
        <f t="shared" si="68"/>
        <v>-6.523269546381341E-07</v>
      </c>
      <c r="AC78" s="320">
        <f t="shared" si="69"/>
        <v>0</v>
      </c>
      <c r="AD78" s="69"/>
      <c r="AE78" s="244"/>
      <c r="AF78" s="239"/>
      <c r="AG78" s="239"/>
      <c r="AH78" s="239"/>
      <c r="AI78" s="244"/>
      <c r="AJ78" s="244"/>
      <c r="AK78" s="244"/>
      <c r="AL78" s="244"/>
      <c r="AM78" s="244"/>
      <c r="AN78" s="244"/>
      <c r="AO78" s="321">
        <f t="shared" si="70"/>
        <v>1</v>
      </c>
      <c r="AP78" s="73">
        <f t="shared" si="71"/>
        <v>0</v>
      </c>
      <c r="AQ78" s="322">
        <f t="shared" si="72"/>
        <v>0.0019285761757514468</v>
      </c>
      <c r="AR78" s="323">
        <f t="shared" si="73"/>
        <v>0.0019279238487968087</v>
      </c>
      <c r="AS78" s="235"/>
      <c r="AT78" s="239"/>
      <c r="AU78" s="239"/>
      <c r="AV78" s="239"/>
      <c r="AW78" s="239"/>
      <c r="AX78" s="239"/>
      <c r="AY78" s="239"/>
      <c r="AZ78" s="239"/>
      <c r="BA78" s="239"/>
      <c r="BB78" s="319">
        <f t="shared" si="74"/>
        <v>1</v>
      </c>
      <c r="BC78" s="69">
        <f t="shared" si="39"/>
        <v>135</v>
      </c>
      <c r="BD78" s="320">
        <f t="shared" si="75"/>
        <v>134.95337326569938</v>
      </c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CA78" s="162">
        <f t="shared" si="76"/>
        <v>1</v>
      </c>
      <c r="CB78" s="162">
        <f t="shared" si="77"/>
        <v>0</v>
      </c>
      <c r="CC78" s="162">
        <f t="shared" si="78"/>
        <v>0</v>
      </c>
      <c r="CD78" s="162">
        <f t="shared" si="79"/>
        <v>0</v>
      </c>
      <c r="CE78" s="162">
        <f t="shared" si="80"/>
        <v>0</v>
      </c>
      <c r="CF78" s="162">
        <f t="shared" si="81"/>
        <v>0</v>
      </c>
      <c r="CG78" s="162">
        <f t="shared" si="82"/>
        <v>0</v>
      </c>
      <c r="CH78" s="162">
        <f t="shared" si="83"/>
        <v>0</v>
      </c>
      <c r="CI78" s="162">
        <f t="shared" si="84"/>
        <v>0</v>
      </c>
      <c r="CJ78" s="162">
        <f t="shared" si="85"/>
        <v>0</v>
      </c>
      <c r="CK78" s="162">
        <f t="shared" si="86"/>
        <v>0</v>
      </c>
      <c r="CL78" s="162">
        <f t="shared" si="87"/>
        <v>0</v>
      </c>
      <c r="CM78" s="162">
        <f t="shared" si="88"/>
        <v>0</v>
      </c>
      <c r="CN78" s="162">
        <f t="shared" si="89"/>
        <v>0</v>
      </c>
      <c r="CO78" s="162">
        <f t="shared" si="90"/>
        <v>1</v>
      </c>
      <c r="CP78" s="163">
        <f t="shared" si="42"/>
        <v>134.95337326569938</v>
      </c>
      <c r="CQ78" s="164"/>
      <c r="CR78" s="164"/>
      <c r="CS78" s="164"/>
      <c r="CT78" s="164"/>
      <c r="CU78" s="164"/>
      <c r="CV78" s="164"/>
      <c r="CW78" s="165">
        <f t="shared" si="91"/>
        <v>0</v>
      </c>
      <c r="CX78" s="165">
        <f t="shared" si="92"/>
        <v>376.47922508222666</v>
      </c>
      <c r="CY78" s="162">
        <f t="shared" si="93"/>
        <v>1</v>
      </c>
      <c r="CZ78" s="164"/>
    </row>
    <row r="79" spans="1:104" ht="12.75">
      <c r="A79" s="239"/>
      <c r="B79" s="166">
        <v>1</v>
      </c>
      <c r="C79" s="114">
        <v>1</v>
      </c>
      <c r="D79" s="233">
        <f t="shared" si="13"/>
        <v>18</v>
      </c>
      <c r="E79" s="157">
        <v>1</v>
      </c>
      <c r="F79" s="157">
        <v>0</v>
      </c>
      <c r="G79" s="464">
        <f t="shared" si="35"/>
        <v>13.215847165497077</v>
      </c>
      <c r="H79" s="195">
        <f t="shared" si="36"/>
        <v>0.0019268247324247135</v>
      </c>
      <c r="I79" s="71">
        <f t="shared" si="60"/>
        <v>-0.0019268247324247135</v>
      </c>
      <c r="J79" s="71">
        <f t="shared" si="61"/>
        <v>-0.04856161293330186</v>
      </c>
      <c r="K79" s="73">
        <f t="shared" si="62"/>
        <v>134.95144712020564</v>
      </c>
      <c r="L79" s="73">
        <f t="shared" si="63"/>
        <v>-0.0019261454937407052</v>
      </c>
      <c r="M79" s="71">
        <f t="shared" si="64"/>
        <v>0.0019261454937407052</v>
      </c>
      <c r="N79" s="71">
        <f t="shared" si="65"/>
        <v>6.792386840082792E-07</v>
      </c>
      <c r="O79" s="167">
        <f t="shared" si="66"/>
        <v>0</v>
      </c>
      <c r="P79" s="112"/>
      <c r="Q79" s="124">
        <f t="shared" si="38"/>
        <v>-20.731383108171876</v>
      </c>
      <c r="R79" s="124">
        <f t="shared" si="19"/>
        <v>99.11885374122808</v>
      </c>
      <c r="S79" s="124">
        <f t="shared" si="20"/>
        <v>13.215847165497077</v>
      </c>
      <c r="U79" s="203"/>
      <c r="V79" s="203"/>
      <c r="W79" s="203"/>
      <c r="X79" s="204"/>
      <c r="Y79" s="69"/>
      <c r="Z79" s="69"/>
      <c r="AA79" s="319">
        <f t="shared" si="67"/>
        <v>1</v>
      </c>
      <c r="AB79" s="69">
        <f t="shared" si="68"/>
        <v>-6.792386840082792E-07</v>
      </c>
      <c r="AC79" s="320">
        <f t="shared" si="69"/>
        <v>0</v>
      </c>
      <c r="AD79" s="69"/>
      <c r="AE79" s="244"/>
      <c r="AF79" s="239"/>
      <c r="AG79" s="239"/>
      <c r="AH79" s="239"/>
      <c r="AI79" s="244"/>
      <c r="AJ79" s="244"/>
      <c r="AK79" s="244"/>
      <c r="AL79" s="244"/>
      <c r="AM79" s="244"/>
      <c r="AN79" s="244"/>
      <c r="AO79" s="321">
        <f t="shared" si="70"/>
        <v>1</v>
      </c>
      <c r="AP79" s="73">
        <f t="shared" si="71"/>
        <v>0</v>
      </c>
      <c r="AQ79" s="322">
        <f t="shared" si="72"/>
        <v>0.0019268247324247135</v>
      </c>
      <c r="AR79" s="323">
        <f t="shared" si="73"/>
        <v>0.0019261454937407052</v>
      </c>
      <c r="AS79" s="235"/>
      <c r="AT79" s="239"/>
      <c r="AU79" s="239"/>
      <c r="AV79" s="239"/>
      <c r="AW79" s="239"/>
      <c r="AX79" s="239"/>
      <c r="AY79" s="239"/>
      <c r="AZ79" s="239"/>
      <c r="BA79" s="239"/>
      <c r="BB79" s="319">
        <f t="shared" si="74"/>
        <v>1</v>
      </c>
      <c r="BC79" s="69">
        <f t="shared" si="39"/>
        <v>135</v>
      </c>
      <c r="BD79" s="320">
        <f t="shared" si="75"/>
        <v>134.95144712020564</v>
      </c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CA79" s="162">
        <f t="shared" si="76"/>
        <v>1</v>
      </c>
      <c r="CB79" s="162">
        <f t="shared" si="77"/>
        <v>0</v>
      </c>
      <c r="CC79" s="162">
        <f t="shared" si="78"/>
        <v>0</v>
      </c>
      <c r="CD79" s="162">
        <f t="shared" si="79"/>
        <v>0</v>
      </c>
      <c r="CE79" s="162">
        <f t="shared" si="80"/>
        <v>0</v>
      </c>
      <c r="CF79" s="162">
        <f t="shared" si="81"/>
        <v>0</v>
      </c>
      <c r="CG79" s="162">
        <f t="shared" si="82"/>
        <v>0</v>
      </c>
      <c r="CH79" s="162">
        <f t="shared" si="83"/>
        <v>0</v>
      </c>
      <c r="CI79" s="162">
        <f t="shared" si="84"/>
        <v>0</v>
      </c>
      <c r="CJ79" s="162">
        <f t="shared" si="85"/>
        <v>0</v>
      </c>
      <c r="CK79" s="162">
        <f t="shared" si="86"/>
        <v>0</v>
      </c>
      <c r="CL79" s="162">
        <f t="shared" si="87"/>
        <v>0</v>
      </c>
      <c r="CM79" s="162">
        <f t="shared" si="88"/>
        <v>0</v>
      </c>
      <c r="CN79" s="162">
        <f t="shared" si="89"/>
        <v>0</v>
      </c>
      <c r="CO79" s="162">
        <f t="shared" si="90"/>
        <v>1</v>
      </c>
      <c r="CP79" s="163">
        <f t="shared" si="42"/>
        <v>134.95144712020564</v>
      </c>
      <c r="CQ79" s="164"/>
      <c r="CR79" s="164"/>
      <c r="CS79" s="164"/>
      <c r="CT79" s="164"/>
      <c r="CU79" s="164"/>
      <c r="CV79" s="164"/>
      <c r="CW79" s="165">
        <f t="shared" si="91"/>
        <v>0</v>
      </c>
      <c r="CX79" s="165">
        <f t="shared" si="92"/>
        <v>376.47922508222666</v>
      </c>
      <c r="CY79" s="162">
        <f t="shared" si="93"/>
        <v>1</v>
      </c>
      <c r="CZ79" s="164"/>
    </row>
    <row r="80" spans="1:104" ht="12.75">
      <c r="A80" s="239"/>
      <c r="B80" s="166">
        <v>1</v>
      </c>
      <c r="C80" s="114">
        <v>1</v>
      </c>
      <c r="D80" s="233">
        <f t="shared" si="13"/>
        <v>19</v>
      </c>
      <c r="E80" s="157">
        <v>1</v>
      </c>
      <c r="F80" s="157">
        <v>0</v>
      </c>
      <c r="G80" s="464">
        <f t="shared" si="35"/>
        <v>13.203470640535464</v>
      </c>
      <c r="H80" s="195">
        <f t="shared" si="36"/>
        <v>0.0019250202779619102</v>
      </c>
      <c r="I80" s="71">
        <f t="shared" si="60"/>
        <v>-0.0019250202779619102</v>
      </c>
      <c r="J80" s="71">
        <f t="shared" si="61"/>
        <v>-0.05048663321126377</v>
      </c>
      <c r="K80" s="73">
        <f t="shared" si="62"/>
        <v>134.9495228059829</v>
      </c>
      <c r="L80" s="73">
        <f t="shared" si="63"/>
        <v>-0.0019243142227480803</v>
      </c>
      <c r="M80" s="71">
        <f t="shared" si="64"/>
        <v>0.0019243142227480803</v>
      </c>
      <c r="N80" s="71">
        <f t="shared" si="65"/>
        <v>7.060552138298763E-07</v>
      </c>
      <c r="O80" s="167">
        <f t="shared" si="66"/>
        <v>0</v>
      </c>
      <c r="P80" s="112"/>
      <c r="Q80" s="124">
        <f t="shared" si="38"/>
        <v>-20.539660485632496</v>
      </c>
      <c r="R80" s="124">
        <f t="shared" si="19"/>
        <v>99.02602980401598</v>
      </c>
      <c r="S80" s="124">
        <f t="shared" si="20"/>
        <v>13.203470640535464</v>
      </c>
      <c r="U80" s="203"/>
      <c r="V80" s="203"/>
      <c r="W80" s="203"/>
      <c r="X80" s="204"/>
      <c r="Y80" s="69"/>
      <c r="Z80" s="69"/>
      <c r="AA80" s="319">
        <f t="shared" si="67"/>
        <v>1</v>
      </c>
      <c r="AB80" s="69">
        <f t="shared" si="68"/>
        <v>-7.060552138298763E-07</v>
      </c>
      <c r="AC80" s="320">
        <f t="shared" si="69"/>
        <v>0</v>
      </c>
      <c r="AD80" s="69"/>
      <c r="AE80" s="244"/>
      <c r="AF80" s="239"/>
      <c r="AG80" s="239"/>
      <c r="AH80" s="239"/>
      <c r="AI80" s="244"/>
      <c r="AJ80" s="244"/>
      <c r="AK80" s="244"/>
      <c r="AL80" s="244"/>
      <c r="AM80" s="244"/>
      <c r="AN80" s="244"/>
      <c r="AO80" s="321">
        <f t="shared" si="70"/>
        <v>1</v>
      </c>
      <c r="AP80" s="73">
        <f t="shared" si="71"/>
        <v>0</v>
      </c>
      <c r="AQ80" s="322">
        <f t="shared" si="72"/>
        <v>0.0019250202779619102</v>
      </c>
      <c r="AR80" s="323">
        <f t="shared" si="73"/>
        <v>0.0019243142227480803</v>
      </c>
      <c r="AS80" s="235"/>
      <c r="AT80" s="239"/>
      <c r="AU80" s="239"/>
      <c r="AV80" s="239"/>
      <c r="AW80" s="239"/>
      <c r="AX80" s="239"/>
      <c r="AY80" s="239"/>
      <c r="AZ80" s="239"/>
      <c r="BA80" s="239"/>
      <c r="BB80" s="319">
        <f t="shared" si="74"/>
        <v>1</v>
      </c>
      <c r="BC80" s="69">
        <f t="shared" si="39"/>
        <v>135</v>
      </c>
      <c r="BD80" s="320">
        <f t="shared" si="75"/>
        <v>134.9495228059829</v>
      </c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CA80" s="162">
        <f t="shared" si="76"/>
        <v>1</v>
      </c>
      <c r="CB80" s="162">
        <f t="shared" si="77"/>
        <v>0</v>
      </c>
      <c r="CC80" s="162">
        <f t="shared" si="78"/>
        <v>0</v>
      </c>
      <c r="CD80" s="162">
        <f t="shared" si="79"/>
        <v>0</v>
      </c>
      <c r="CE80" s="162">
        <f t="shared" si="80"/>
        <v>0</v>
      </c>
      <c r="CF80" s="162">
        <f t="shared" si="81"/>
        <v>0</v>
      </c>
      <c r="CG80" s="162">
        <f t="shared" si="82"/>
        <v>0</v>
      </c>
      <c r="CH80" s="162">
        <f t="shared" si="83"/>
        <v>0</v>
      </c>
      <c r="CI80" s="162">
        <f t="shared" si="84"/>
        <v>0</v>
      </c>
      <c r="CJ80" s="162">
        <f t="shared" si="85"/>
        <v>0</v>
      </c>
      <c r="CK80" s="162">
        <f t="shared" si="86"/>
        <v>0</v>
      </c>
      <c r="CL80" s="162">
        <f t="shared" si="87"/>
        <v>0</v>
      </c>
      <c r="CM80" s="162">
        <f t="shared" si="88"/>
        <v>0</v>
      </c>
      <c r="CN80" s="162">
        <f t="shared" si="89"/>
        <v>0</v>
      </c>
      <c r="CO80" s="162">
        <f t="shared" si="90"/>
        <v>1</v>
      </c>
      <c r="CP80" s="163">
        <f t="shared" si="42"/>
        <v>134.9495228059829</v>
      </c>
      <c r="CQ80" s="164"/>
      <c r="CR80" s="164"/>
      <c r="CS80" s="164"/>
      <c r="CT80" s="164"/>
      <c r="CU80" s="164"/>
      <c r="CV80" s="164"/>
      <c r="CW80" s="165">
        <f t="shared" si="91"/>
        <v>0</v>
      </c>
      <c r="CX80" s="165">
        <f t="shared" si="92"/>
        <v>376.47922508222666</v>
      </c>
      <c r="CY80" s="162">
        <f t="shared" si="93"/>
        <v>1</v>
      </c>
      <c r="CZ80" s="164"/>
    </row>
    <row r="81" spans="1:104" ht="12.75">
      <c r="A81" s="239"/>
      <c r="B81" s="166">
        <v>1</v>
      </c>
      <c r="C81" s="114">
        <v>1</v>
      </c>
      <c r="D81" s="233">
        <f t="shared" si="13"/>
        <v>20</v>
      </c>
      <c r="E81" s="157">
        <v>1</v>
      </c>
      <c r="F81" s="157">
        <v>0</v>
      </c>
      <c r="G81" s="464">
        <f t="shared" si="35"/>
        <v>13.190737022162223</v>
      </c>
      <c r="H81" s="195">
        <f t="shared" si="36"/>
        <v>0.0019231637605167877</v>
      </c>
      <c r="I81" s="71">
        <f t="shared" si="60"/>
        <v>-0.0019231637605167877</v>
      </c>
      <c r="J81" s="71">
        <f t="shared" si="61"/>
        <v>-0.05240979697178056</v>
      </c>
      <c r="K81" s="73">
        <f t="shared" si="62"/>
        <v>134.94760037499637</v>
      </c>
      <c r="L81" s="73">
        <f t="shared" si="63"/>
        <v>-0.0019224309865251143</v>
      </c>
      <c r="M81" s="71">
        <f t="shared" si="64"/>
        <v>0.0019224309865251143</v>
      </c>
      <c r="N81" s="71">
        <f t="shared" si="65"/>
        <v>7.327739916733033E-07</v>
      </c>
      <c r="O81" s="167">
        <f t="shared" si="66"/>
        <v>0</v>
      </c>
      <c r="P81" s="112"/>
      <c r="Q81" s="124">
        <f t="shared" si="38"/>
        <v>-20.341851518409044</v>
      </c>
      <c r="R81" s="124">
        <f t="shared" si="19"/>
        <v>98.93052766621668</v>
      </c>
      <c r="S81" s="124">
        <f t="shared" si="20"/>
        <v>13.190737022162223</v>
      </c>
      <c r="U81" s="203"/>
      <c r="V81" s="203"/>
      <c r="W81" s="203"/>
      <c r="X81" s="204"/>
      <c r="Y81" s="69"/>
      <c r="Z81" s="69"/>
      <c r="AA81" s="319">
        <f t="shared" si="67"/>
        <v>1</v>
      </c>
      <c r="AB81" s="69">
        <f t="shared" si="68"/>
        <v>-7.327739916733033E-07</v>
      </c>
      <c r="AC81" s="320">
        <f t="shared" si="69"/>
        <v>0</v>
      </c>
      <c r="AD81" s="69"/>
      <c r="AE81" s="244"/>
      <c r="AF81" s="239"/>
      <c r="AG81" s="239"/>
      <c r="AH81" s="239"/>
      <c r="AI81" s="244"/>
      <c r="AJ81" s="244"/>
      <c r="AK81" s="244"/>
      <c r="AL81" s="244"/>
      <c r="AM81" s="244"/>
      <c r="AN81" s="244"/>
      <c r="AO81" s="321">
        <f t="shared" si="70"/>
        <v>1</v>
      </c>
      <c r="AP81" s="73">
        <f t="shared" si="71"/>
        <v>0</v>
      </c>
      <c r="AQ81" s="322">
        <f t="shared" si="72"/>
        <v>0.0019231637605167877</v>
      </c>
      <c r="AR81" s="323">
        <f t="shared" si="73"/>
        <v>0.0019224309865251143</v>
      </c>
      <c r="AS81" s="235"/>
      <c r="AT81" s="239"/>
      <c r="AU81" s="239"/>
      <c r="AV81" s="239"/>
      <c r="AW81" s="239"/>
      <c r="AX81" s="239"/>
      <c r="AY81" s="239"/>
      <c r="AZ81" s="239"/>
      <c r="BA81" s="239"/>
      <c r="BB81" s="319">
        <f t="shared" si="74"/>
        <v>1</v>
      </c>
      <c r="BC81" s="69">
        <f t="shared" si="39"/>
        <v>135</v>
      </c>
      <c r="BD81" s="320">
        <f t="shared" si="75"/>
        <v>134.94760037499637</v>
      </c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CA81" s="162">
        <f t="shared" si="76"/>
        <v>1</v>
      </c>
      <c r="CB81" s="162">
        <f t="shared" si="77"/>
        <v>0</v>
      </c>
      <c r="CC81" s="162">
        <f t="shared" si="78"/>
        <v>0</v>
      </c>
      <c r="CD81" s="162">
        <f t="shared" si="79"/>
        <v>0</v>
      </c>
      <c r="CE81" s="162">
        <f t="shared" si="80"/>
        <v>0</v>
      </c>
      <c r="CF81" s="162">
        <f t="shared" si="81"/>
        <v>0</v>
      </c>
      <c r="CG81" s="162">
        <f t="shared" si="82"/>
        <v>0</v>
      </c>
      <c r="CH81" s="162">
        <f t="shared" si="83"/>
        <v>0</v>
      </c>
      <c r="CI81" s="162">
        <f t="shared" si="84"/>
        <v>0</v>
      </c>
      <c r="CJ81" s="162">
        <f t="shared" si="85"/>
        <v>0</v>
      </c>
      <c r="CK81" s="162">
        <f t="shared" si="86"/>
        <v>0</v>
      </c>
      <c r="CL81" s="162">
        <f t="shared" si="87"/>
        <v>0</v>
      </c>
      <c r="CM81" s="162">
        <f t="shared" si="88"/>
        <v>0</v>
      </c>
      <c r="CN81" s="162">
        <f t="shared" si="89"/>
        <v>0</v>
      </c>
      <c r="CO81" s="162">
        <f t="shared" si="90"/>
        <v>1</v>
      </c>
      <c r="CP81" s="163">
        <f t="shared" si="42"/>
        <v>134.94760037499637</v>
      </c>
      <c r="CQ81" s="164"/>
      <c r="CR81" s="164"/>
      <c r="CS81" s="164"/>
      <c r="CT81" s="164"/>
      <c r="CU81" s="164"/>
      <c r="CV81" s="164"/>
      <c r="CW81" s="165">
        <f t="shared" si="91"/>
        <v>0</v>
      </c>
      <c r="CX81" s="165">
        <f t="shared" si="92"/>
        <v>376.47922508222666</v>
      </c>
      <c r="CY81" s="162">
        <f t="shared" si="93"/>
        <v>1</v>
      </c>
      <c r="CZ81" s="164"/>
    </row>
    <row r="82" spans="1:104" ht="12.75">
      <c r="A82" s="239"/>
      <c r="B82" s="166">
        <v>1</v>
      </c>
      <c r="C82" s="114">
        <v>1</v>
      </c>
      <c r="D82" s="233">
        <f t="shared" si="13"/>
        <v>21</v>
      </c>
      <c r="E82" s="157">
        <v>1</v>
      </c>
      <c r="F82" s="157">
        <v>0</v>
      </c>
      <c r="G82" s="464">
        <f t="shared" si="35"/>
        <v>13.17765290728678</v>
      </c>
      <c r="H82" s="195">
        <f t="shared" si="36"/>
        <v>0.0019212561418958864</v>
      </c>
      <c r="I82" s="71">
        <f t="shared" si="60"/>
        <v>-0.0019212561418958864</v>
      </c>
      <c r="J82" s="71">
        <f t="shared" si="61"/>
        <v>-0.05433105311367645</v>
      </c>
      <c r="K82" s="73">
        <f t="shared" si="62"/>
        <v>134.94567987824698</v>
      </c>
      <c r="L82" s="73">
        <f t="shared" si="63"/>
        <v>-0.0019204967493919867</v>
      </c>
      <c r="M82" s="71">
        <f t="shared" si="64"/>
        <v>0.0019204967493919867</v>
      </c>
      <c r="N82" s="71">
        <f t="shared" si="65"/>
        <v>7.593925038997407E-07</v>
      </c>
      <c r="O82" s="167">
        <f t="shared" si="66"/>
        <v>0</v>
      </c>
      <c r="P82" s="112"/>
      <c r="Q82" s="124">
        <f t="shared" si="38"/>
        <v>-20.138014821567577</v>
      </c>
      <c r="R82" s="124">
        <f t="shared" si="19"/>
        <v>98.83239680465084</v>
      </c>
      <c r="S82" s="124">
        <f t="shared" si="20"/>
        <v>13.17765290728678</v>
      </c>
      <c r="U82" s="203"/>
      <c r="V82" s="203"/>
      <c r="W82" s="203"/>
      <c r="X82" s="204"/>
      <c r="Y82" s="69"/>
      <c r="Z82" s="69"/>
      <c r="AA82" s="319">
        <f t="shared" si="67"/>
        <v>1</v>
      </c>
      <c r="AB82" s="69">
        <f t="shared" si="68"/>
        <v>-7.593925038997407E-07</v>
      </c>
      <c r="AC82" s="320">
        <f t="shared" si="69"/>
        <v>0</v>
      </c>
      <c r="AD82" s="69"/>
      <c r="AE82" s="244"/>
      <c r="AF82" s="239"/>
      <c r="AG82" s="239"/>
      <c r="AH82" s="239"/>
      <c r="AI82" s="244"/>
      <c r="AJ82" s="244"/>
      <c r="AK82" s="244"/>
      <c r="AL82" s="244"/>
      <c r="AM82" s="244"/>
      <c r="AN82" s="244"/>
      <c r="AO82" s="321">
        <f t="shared" si="70"/>
        <v>1</v>
      </c>
      <c r="AP82" s="73">
        <f t="shared" si="71"/>
        <v>0</v>
      </c>
      <c r="AQ82" s="322">
        <f t="shared" si="72"/>
        <v>0.0019212561418958864</v>
      </c>
      <c r="AR82" s="323">
        <f t="shared" si="73"/>
        <v>0.0019204967493919867</v>
      </c>
      <c r="AS82" s="235"/>
      <c r="AT82" s="239"/>
      <c r="AU82" s="239"/>
      <c r="AV82" s="239"/>
      <c r="AW82" s="239"/>
      <c r="AX82" s="239"/>
      <c r="AY82" s="239"/>
      <c r="AZ82" s="239"/>
      <c r="BA82" s="239"/>
      <c r="BB82" s="319">
        <f t="shared" si="74"/>
        <v>1</v>
      </c>
      <c r="BC82" s="69">
        <f t="shared" si="39"/>
        <v>135</v>
      </c>
      <c r="BD82" s="320">
        <f t="shared" si="75"/>
        <v>134.94567987824698</v>
      </c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CA82" s="162">
        <f t="shared" si="76"/>
        <v>1</v>
      </c>
      <c r="CB82" s="162">
        <f t="shared" si="77"/>
        <v>0</v>
      </c>
      <c r="CC82" s="162">
        <f t="shared" si="78"/>
        <v>0</v>
      </c>
      <c r="CD82" s="162">
        <f t="shared" si="79"/>
        <v>0</v>
      </c>
      <c r="CE82" s="162">
        <f t="shared" si="80"/>
        <v>0</v>
      </c>
      <c r="CF82" s="162">
        <f t="shared" si="81"/>
        <v>0</v>
      </c>
      <c r="CG82" s="162">
        <f t="shared" si="82"/>
        <v>0</v>
      </c>
      <c r="CH82" s="162">
        <f t="shared" si="83"/>
        <v>0</v>
      </c>
      <c r="CI82" s="162">
        <f t="shared" si="84"/>
        <v>0</v>
      </c>
      <c r="CJ82" s="162">
        <f t="shared" si="85"/>
        <v>0</v>
      </c>
      <c r="CK82" s="162">
        <f t="shared" si="86"/>
        <v>0</v>
      </c>
      <c r="CL82" s="162">
        <f t="shared" si="87"/>
        <v>0</v>
      </c>
      <c r="CM82" s="162">
        <f t="shared" si="88"/>
        <v>0</v>
      </c>
      <c r="CN82" s="162">
        <f t="shared" si="89"/>
        <v>0</v>
      </c>
      <c r="CO82" s="162">
        <f t="shared" si="90"/>
        <v>1</v>
      </c>
      <c r="CP82" s="163">
        <f t="shared" si="42"/>
        <v>134.94567987824698</v>
      </c>
      <c r="CQ82" s="164"/>
      <c r="CR82" s="164"/>
      <c r="CS82" s="164"/>
      <c r="CT82" s="164"/>
      <c r="CU82" s="164"/>
      <c r="CV82" s="164"/>
      <c r="CW82" s="165">
        <f t="shared" si="91"/>
        <v>0</v>
      </c>
      <c r="CX82" s="165">
        <f t="shared" si="92"/>
        <v>376.47922508222666</v>
      </c>
      <c r="CY82" s="162">
        <f t="shared" si="93"/>
        <v>1</v>
      </c>
      <c r="CZ82" s="164"/>
    </row>
    <row r="83" spans="1:104" ht="12.75">
      <c r="A83" s="239"/>
      <c r="B83" s="166">
        <v>1</v>
      </c>
      <c r="C83" s="114">
        <v>1</v>
      </c>
      <c r="D83" s="233">
        <f t="shared" si="13"/>
        <v>22</v>
      </c>
      <c r="E83" s="157">
        <v>1</v>
      </c>
      <c r="F83" s="157">
        <v>0</v>
      </c>
      <c r="G83" s="464">
        <f aca="true" t="shared" si="94" ref="G83:G91">S83</f>
        <v>13.164224976378105</v>
      </c>
      <c r="H83" s="195">
        <f aca="true" t="shared" si="95" ref="H83:H91">16*((10*(E83/$K$11))^$K$13)*(G83/12)*(C83/30)</f>
        <v>0.0019192983960884386</v>
      </c>
      <c r="I83" s="71">
        <f t="shared" si="60"/>
        <v>-0.0019192983960884386</v>
      </c>
      <c r="J83" s="71">
        <f t="shared" si="61"/>
        <v>-0.05625035150976489</v>
      </c>
      <c r="K83" s="73">
        <f t="shared" si="62"/>
        <v>134.94376136575923</v>
      </c>
      <c r="L83" s="73">
        <f t="shared" si="63"/>
        <v>-0.001918512487748103</v>
      </c>
      <c r="M83" s="71">
        <f t="shared" si="64"/>
        <v>0.001918512487748103</v>
      </c>
      <c r="N83" s="71">
        <f t="shared" si="65"/>
        <v>7.859083403355654E-07</v>
      </c>
      <c r="O83" s="167">
        <f t="shared" si="66"/>
        <v>0</v>
      </c>
      <c r="P83" s="112"/>
      <c r="Q83" s="124">
        <f aca="true" t="shared" si="96" ref="Q83:Q91">23.45*SIN(RADIANS((360/365)*(D83-81)))</f>
        <v>-19.928210796320528</v>
      </c>
      <c r="R83" s="124">
        <f t="shared" si="19"/>
        <v>98.73168732283578</v>
      </c>
      <c r="S83" s="124">
        <f t="shared" si="20"/>
        <v>13.164224976378105</v>
      </c>
      <c r="U83" s="203"/>
      <c r="V83" s="203"/>
      <c r="W83" s="203"/>
      <c r="X83" s="204"/>
      <c r="Y83" s="69"/>
      <c r="Z83" s="69"/>
      <c r="AA83" s="319">
        <f t="shared" si="67"/>
        <v>1</v>
      </c>
      <c r="AB83" s="69">
        <f t="shared" si="68"/>
        <v>-7.859083403355654E-07</v>
      </c>
      <c r="AC83" s="320">
        <f t="shared" si="69"/>
        <v>0</v>
      </c>
      <c r="AD83" s="69"/>
      <c r="AE83" s="244"/>
      <c r="AF83" s="239"/>
      <c r="AG83" s="239"/>
      <c r="AH83" s="239"/>
      <c r="AI83" s="244"/>
      <c r="AJ83" s="244"/>
      <c r="AK83" s="244"/>
      <c r="AL83" s="244"/>
      <c r="AM83" s="244"/>
      <c r="AN83" s="244"/>
      <c r="AO83" s="321">
        <f t="shared" si="70"/>
        <v>1</v>
      </c>
      <c r="AP83" s="73">
        <f t="shared" si="71"/>
        <v>0</v>
      </c>
      <c r="AQ83" s="322">
        <f t="shared" si="72"/>
        <v>0.0019192983960884386</v>
      </c>
      <c r="AR83" s="323">
        <f t="shared" si="73"/>
        <v>0.001918512487748103</v>
      </c>
      <c r="AS83" s="235"/>
      <c r="AT83" s="239"/>
      <c r="AU83" s="239"/>
      <c r="AV83" s="239"/>
      <c r="AW83" s="239"/>
      <c r="AX83" s="239"/>
      <c r="AY83" s="239"/>
      <c r="AZ83" s="239"/>
      <c r="BA83" s="239"/>
      <c r="BB83" s="319">
        <f t="shared" si="74"/>
        <v>1</v>
      </c>
      <c r="BC83" s="69">
        <f aca="true" t="shared" si="97" ref="BC83:BC91">$C$11</f>
        <v>135</v>
      </c>
      <c r="BD83" s="320">
        <f t="shared" si="75"/>
        <v>134.94376136575923</v>
      </c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CA83" s="162">
        <f t="shared" si="76"/>
        <v>1</v>
      </c>
      <c r="CB83" s="162">
        <f t="shared" si="77"/>
        <v>0</v>
      </c>
      <c r="CC83" s="162">
        <f t="shared" si="78"/>
        <v>0</v>
      </c>
      <c r="CD83" s="162">
        <f t="shared" si="79"/>
        <v>0</v>
      </c>
      <c r="CE83" s="162">
        <f t="shared" si="80"/>
        <v>0</v>
      </c>
      <c r="CF83" s="162">
        <f t="shared" si="81"/>
        <v>0</v>
      </c>
      <c r="CG83" s="162">
        <f t="shared" si="82"/>
        <v>0</v>
      </c>
      <c r="CH83" s="162">
        <f t="shared" si="83"/>
        <v>0</v>
      </c>
      <c r="CI83" s="162">
        <f t="shared" si="84"/>
        <v>0</v>
      </c>
      <c r="CJ83" s="162">
        <f t="shared" si="85"/>
        <v>0</v>
      </c>
      <c r="CK83" s="162">
        <f t="shared" si="86"/>
        <v>0</v>
      </c>
      <c r="CL83" s="162">
        <f t="shared" si="87"/>
        <v>0</v>
      </c>
      <c r="CM83" s="162">
        <f t="shared" si="88"/>
        <v>0</v>
      </c>
      <c r="CN83" s="162">
        <f t="shared" si="89"/>
        <v>0</v>
      </c>
      <c r="CO83" s="162">
        <f t="shared" si="90"/>
        <v>1</v>
      </c>
      <c r="CP83" s="163">
        <f t="shared" si="42"/>
        <v>134.94376136575923</v>
      </c>
      <c r="CQ83" s="164"/>
      <c r="CR83" s="164"/>
      <c r="CS83" s="164"/>
      <c r="CT83" s="164"/>
      <c r="CU83" s="164"/>
      <c r="CV83" s="164"/>
      <c r="CW83" s="165">
        <f t="shared" si="91"/>
        <v>0</v>
      </c>
      <c r="CX83" s="165">
        <f t="shared" si="92"/>
        <v>376.47922508222666</v>
      </c>
      <c r="CY83" s="162">
        <f t="shared" si="93"/>
        <v>1</v>
      </c>
      <c r="CZ83" s="164"/>
    </row>
    <row r="84" spans="1:104" ht="12.75">
      <c r="A84" s="239"/>
      <c r="B84" s="166">
        <v>1</v>
      </c>
      <c r="C84" s="114">
        <v>1</v>
      </c>
      <c r="D84" s="233">
        <f aca="true" t="shared" si="98" ref="D84:D91">IF(D83+C83&gt;365,((D83+C83)-365),D83+C83)</f>
        <v>23</v>
      </c>
      <c r="E84" s="157">
        <v>1</v>
      </c>
      <c r="F84" s="157">
        <v>0</v>
      </c>
      <c r="G84" s="464">
        <f t="shared" si="94"/>
        <v>13.150459983524549</v>
      </c>
      <c r="H84" s="195">
        <f t="shared" si="95"/>
        <v>0.001917291507817127</v>
      </c>
      <c r="I84" s="71">
        <f t="shared" si="60"/>
        <v>-0.001917291507817127</v>
      </c>
      <c r="J84" s="71">
        <f t="shared" si="61"/>
        <v>-0.05816764301758202</v>
      </c>
      <c r="K84" s="73">
        <f t="shared" si="62"/>
        <v>134.94184488657058</v>
      </c>
      <c r="L84" s="73">
        <f t="shared" si="63"/>
        <v>-0.0019164791886510102</v>
      </c>
      <c r="M84" s="71">
        <f t="shared" si="64"/>
        <v>0.0019164791886510102</v>
      </c>
      <c r="N84" s="71">
        <f t="shared" si="65"/>
        <v>8.123191661167043E-07</v>
      </c>
      <c r="O84" s="167">
        <f t="shared" si="66"/>
        <v>0</v>
      </c>
      <c r="P84" s="112"/>
      <c r="Q84" s="124">
        <f t="shared" si="96"/>
        <v>-19.71250161212851</v>
      </c>
      <c r="R84" s="124">
        <f aca="true" t="shared" si="99" ref="R84:R91">ACOS(-TAN(RADIANS($L$9))*TAN(RADIANS(Q84)))*180/PI()</f>
        <v>98.62844987643412</v>
      </c>
      <c r="S84" s="124">
        <f aca="true" t="shared" si="100" ref="S84:S91">2*R84/15</f>
        <v>13.150459983524549</v>
      </c>
      <c r="U84" s="203"/>
      <c r="V84" s="203"/>
      <c r="W84" s="203"/>
      <c r="X84" s="204"/>
      <c r="Y84" s="69"/>
      <c r="Z84" s="69"/>
      <c r="AA84" s="319">
        <f t="shared" si="67"/>
        <v>1</v>
      </c>
      <c r="AB84" s="69">
        <f t="shared" si="68"/>
        <v>-8.123191661167043E-07</v>
      </c>
      <c r="AC84" s="320">
        <f t="shared" si="69"/>
        <v>0</v>
      </c>
      <c r="AD84" s="69"/>
      <c r="AE84" s="244"/>
      <c r="AF84" s="239"/>
      <c r="AG84" s="239"/>
      <c r="AH84" s="239"/>
      <c r="AI84" s="244"/>
      <c r="AJ84" s="244"/>
      <c r="AK84" s="244"/>
      <c r="AL84" s="244"/>
      <c r="AM84" s="244"/>
      <c r="AN84" s="244"/>
      <c r="AO84" s="321">
        <f t="shared" si="70"/>
        <v>1</v>
      </c>
      <c r="AP84" s="73">
        <f t="shared" si="71"/>
        <v>0</v>
      </c>
      <c r="AQ84" s="322">
        <f t="shared" si="72"/>
        <v>0.001917291507817127</v>
      </c>
      <c r="AR84" s="323">
        <f t="shared" si="73"/>
        <v>0.0019164791886510102</v>
      </c>
      <c r="AS84" s="235"/>
      <c r="AT84" s="239"/>
      <c r="AU84" s="239"/>
      <c r="AV84" s="239"/>
      <c r="AW84" s="239"/>
      <c r="AX84" s="239"/>
      <c r="AY84" s="239"/>
      <c r="AZ84" s="239"/>
      <c r="BA84" s="239"/>
      <c r="BB84" s="319">
        <f t="shared" si="74"/>
        <v>1</v>
      </c>
      <c r="BC84" s="69">
        <f t="shared" si="97"/>
        <v>135</v>
      </c>
      <c r="BD84" s="320">
        <f t="shared" si="75"/>
        <v>134.94184488657058</v>
      </c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CA84" s="162">
        <f t="shared" si="76"/>
        <v>1</v>
      </c>
      <c r="CB84" s="162">
        <f t="shared" si="77"/>
        <v>0</v>
      </c>
      <c r="CC84" s="162">
        <f t="shared" si="78"/>
        <v>0</v>
      </c>
      <c r="CD84" s="162">
        <f t="shared" si="79"/>
        <v>0</v>
      </c>
      <c r="CE84" s="162">
        <f t="shared" si="80"/>
        <v>0</v>
      </c>
      <c r="CF84" s="162">
        <f t="shared" si="81"/>
        <v>0</v>
      </c>
      <c r="CG84" s="162">
        <f t="shared" si="82"/>
        <v>0</v>
      </c>
      <c r="CH84" s="162">
        <f t="shared" si="83"/>
        <v>0</v>
      </c>
      <c r="CI84" s="162">
        <f t="shared" si="84"/>
        <v>0</v>
      </c>
      <c r="CJ84" s="162">
        <f t="shared" si="85"/>
        <v>0</v>
      </c>
      <c r="CK84" s="162">
        <f t="shared" si="86"/>
        <v>0</v>
      </c>
      <c r="CL84" s="162">
        <f t="shared" si="87"/>
        <v>0</v>
      </c>
      <c r="CM84" s="162">
        <f t="shared" si="88"/>
        <v>0</v>
      </c>
      <c r="CN84" s="162">
        <f t="shared" si="89"/>
        <v>0</v>
      </c>
      <c r="CO84" s="162">
        <f t="shared" si="90"/>
        <v>1</v>
      </c>
      <c r="CP84" s="163">
        <f aca="true" t="shared" si="101" ref="CP84:CP91">IF(CY84=1,IF(CO84=0,IF($CX$93=1,$CN$92,$CA$9),IF(I84&lt;0,$CA$9*EXP(J84/$CA$9),IF(I84&gt;0,CP83+ABS(I84)))),"")</f>
        <v>134.94184488657058</v>
      </c>
      <c r="CQ84" s="164"/>
      <c r="CR84" s="164"/>
      <c r="CS84" s="164"/>
      <c r="CT84" s="164"/>
      <c r="CU84" s="164"/>
      <c r="CV84" s="164"/>
      <c r="CW84" s="165">
        <f t="shared" si="91"/>
        <v>0</v>
      </c>
      <c r="CX84" s="165">
        <f t="shared" si="92"/>
        <v>376.47922508222666</v>
      </c>
      <c r="CY84" s="162">
        <f t="shared" si="93"/>
        <v>1</v>
      </c>
      <c r="CZ84" s="164"/>
    </row>
    <row r="85" spans="1:104" ht="12.75">
      <c r="A85" s="239"/>
      <c r="B85" s="166">
        <v>1</v>
      </c>
      <c r="C85" s="114">
        <v>1</v>
      </c>
      <c r="D85" s="233">
        <f t="shared" si="98"/>
        <v>24</v>
      </c>
      <c r="E85" s="157">
        <v>1</v>
      </c>
      <c r="F85" s="157">
        <v>0</v>
      </c>
      <c r="G85" s="464">
        <f t="shared" si="94"/>
        <v>13.136364746663457</v>
      </c>
      <c r="H85" s="195">
        <f t="shared" si="95"/>
        <v>0.0019152364711135972</v>
      </c>
      <c r="I85" s="71">
        <f t="shared" si="60"/>
        <v>-0.0019152364711135972</v>
      </c>
      <c r="J85" s="71">
        <f t="shared" si="61"/>
        <v>-0.06008287948869562</v>
      </c>
      <c r="K85" s="73">
        <f t="shared" si="62"/>
        <v>134.93993048872213</v>
      </c>
      <c r="L85" s="73">
        <f t="shared" si="63"/>
        <v>-0.001914397848452154</v>
      </c>
      <c r="M85" s="71">
        <f t="shared" si="64"/>
        <v>0.001914397848452154</v>
      </c>
      <c r="N85" s="71">
        <f t="shared" si="65"/>
        <v>8.386226614432064E-07</v>
      </c>
      <c r="O85" s="167">
        <f t="shared" si="66"/>
        <v>0</v>
      </c>
      <c r="P85" s="112"/>
      <c r="Q85" s="124">
        <f t="shared" si="96"/>
        <v>-19.490951188278192</v>
      </c>
      <c r="R85" s="124">
        <f t="shared" si="99"/>
        <v>98.52273559997593</v>
      </c>
      <c r="S85" s="124">
        <f t="shared" si="100"/>
        <v>13.136364746663457</v>
      </c>
      <c r="U85" s="203"/>
      <c r="V85" s="203"/>
      <c r="W85" s="203"/>
      <c r="X85" s="204"/>
      <c r="Y85" s="69"/>
      <c r="Z85" s="69"/>
      <c r="AA85" s="319">
        <f t="shared" si="67"/>
        <v>1</v>
      </c>
      <c r="AB85" s="69">
        <f t="shared" si="68"/>
        <v>-8.386226614432064E-07</v>
      </c>
      <c r="AC85" s="320">
        <f t="shared" si="69"/>
        <v>0</v>
      </c>
      <c r="AD85" s="69"/>
      <c r="AE85" s="244"/>
      <c r="AF85" s="239"/>
      <c r="AG85" s="239"/>
      <c r="AH85" s="239"/>
      <c r="AI85" s="244"/>
      <c r="AJ85" s="244"/>
      <c r="AK85" s="244"/>
      <c r="AL85" s="244"/>
      <c r="AM85" s="244"/>
      <c r="AN85" s="244"/>
      <c r="AO85" s="321">
        <f t="shared" si="70"/>
        <v>1</v>
      </c>
      <c r="AP85" s="73">
        <f t="shared" si="71"/>
        <v>0</v>
      </c>
      <c r="AQ85" s="322">
        <f t="shared" si="72"/>
        <v>0.0019152364711135972</v>
      </c>
      <c r="AR85" s="323">
        <f t="shared" si="73"/>
        <v>0.001914397848452154</v>
      </c>
      <c r="AS85" s="235"/>
      <c r="AT85" s="239"/>
      <c r="AU85" s="239"/>
      <c r="AV85" s="239"/>
      <c r="AW85" s="239"/>
      <c r="AX85" s="239"/>
      <c r="AY85" s="239"/>
      <c r="AZ85" s="239"/>
      <c r="BA85" s="239"/>
      <c r="BB85" s="319">
        <f t="shared" si="74"/>
        <v>1</v>
      </c>
      <c r="BC85" s="69">
        <f t="shared" si="97"/>
        <v>135</v>
      </c>
      <c r="BD85" s="320">
        <f t="shared" si="75"/>
        <v>134.93993048872213</v>
      </c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CA85" s="162">
        <f t="shared" si="76"/>
        <v>1</v>
      </c>
      <c r="CB85" s="162">
        <f t="shared" si="77"/>
        <v>0</v>
      </c>
      <c r="CC85" s="162">
        <f t="shared" si="78"/>
        <v>0</v>
      </c>
      <c r="CD85" s="162">
        <f t="shared" si="79"/>
        <v>0</v>
      </c>
      <c r="CE85" s="162">
        <f t="shared" si="80"/>
        <v>0</v>
      </c>
      <c r="CF85" s="162">
        <f t="shared" si="81"/>
        <v>0</v>
      </c>
      <c r="CG85" s="162">
        <f t="shared" si="82"/>
        <v>0</v>
      </c>
      <c r="CH85" s="162">
        <f t="shared" si="83"/>
        <v>0</v>
      </c>
      <c r="CI85" s="162">
        <f t="shared" si="84"/>
        <v>0</v>
      </c>
      <c r="CJ85" s="162">
        <f t="shared" si="85"/>
        <v>0</v>
      </c>
      <c r="CK85" s="162">
        <f t="shared" si="86"/>
        <v>0</v>
      </c>
      <c r="CL85" s="162">
        <f t="shared" si="87"/>
        <v>0</v>
      </c>
      <c r="CM85" s="162">
        <f t="shared" si="88"/>
        <v>0</v>
      </c>
      <c r="CN85" s="162">
        <f t="shared" si="89"/>
        <v>0</v>
      </c>
      <c r="CO85" s="162">
        <f t="shared" si="90"/>
        <v>1</v>
      </c>
      <c r="CP85" s="163">
        <f t="shared" si="101"/>
        <v>134.93993048872213</v>
      </c>
      <c r="CQ85" s="164"/>
      <c r="CR85" s="164"/>
      <c r="CS85" s="164"/>
      <c r="CT85" s="164"/>
      <c r="CU85" s="164"/>
      <c r="CV85" s="164"/>
      <c r="CW85" s="165">
        <f t="shared" si="91"/>
        <v>0</v>
      </c>
      <c r="CX85" s="165">
        <f t="shared" si="92"/>
        <v>376.47922508222666</v>
      </c>
      <c r="CY85" s="162">
        <f t="shared" si="93"/>
        <v>1</v>
      </c>
      <c r="CZ85" s="164"/>
    </row>
    <row r="86" spans="1:104" ht="12.75">
      <c r="A86" s="239"/>
      <c r="B86" s="166">
        <v>1</v>
      </c>
      <c r="C86" s="114">
        <v>1</v>
      </c>
      <c r="D86" s="233">
        <f t="shared" si="98"/>
        <v>25</v>
      </c>
      <c r="E86" s="157">
        <v>1</v>
      </c>
      <c r="F86" s="157">
        <v>0</v>
      </c>
      <c r="G86" s="464">
        <f t="shared" si="94"/>
        <v>13.121946138005796</v>
      </c>
      <c r="H86" s="195">
        <f t="shared" si="95"/>
        <v>0.0019131342879224</v>
      </c>
      <c r="I86" s="71">
        <f t="shared" si="60"/>
        <v>-0.0019131342879224</v>
      </c>
      <c r="J86" s="71">
        <f t="shared" si="61"/>
        <v>-0.061996013776618016</v>
      </c>
      <c r="K86" s="73">
        <f t="shared" si="62"/>
        <v>134.93801821925095</v>
      </c>
      <c r="L86" s="73">
        <f t="shared" si="63"/>
        <v>-0.0019122694711768418</v>
      </c>
      <c r="M86" s="71">
        <f t="shared" si="64"/>
        <v>0.0019122694711768418</v>
      </c>
      <c r="N86" s="71">
        <f t="shared" si="65"/>
        <v>8.648167455582809E-07</v>
      </c>
      <c r="O86" s="167">
        <f t="shared" si="66"/>
        <v>0</v>
      </c>
      <c r="P86" s="112"/>
      <c r="Q86" s="124">
        <f t="shared" si="96"/>
        <v>-19.263625174941613</v>
      </c>
      <c r="R86" s="124">
        <f t="shared" si="99"/>
        <v>98.41459603504347</v>
      </c>
      <c r="S86" s="124">
        <f t="shared" si="100"/>
        <v>13.121946138005796</v>
      </c>
      <c r="U86" s="203"/>
      <c r="V86" s="203"/>
      <c r="W86" s="203"/>
      <c r="X86" s="204"/>
      <c r="Y86" s="69"/>
      <c r="Z86" s="69"/>
      <c r="AA86" s="319">
        <f t="shared" si="67"/>
        <v>1</v>
      </c>
      <c r="AB86" s="69">
        <f t="shared" si="68"/>
        <v>-8.648167455582809E-07</v>
      </c>
      <c r="AC86" s="320">
        <f t="shared" si="69"/>
        <v>0</v>
      </c>
      <c r="AD86" s="69"/>
      <c r="AE86" s="244"/>
      <c r="AF86" s="239"/>
      <c r="AG86" s="239"/>
      <c r="AH86" s="239"/>
      <c r="AI86" s="244"/>
      <c r="AJ86" s="244"/>
      <c r="AK86" s="244"/>
      <c r="AL86" s="244"/>
      <c r="AM86" s="244"/>
      <c r="AN86" s="244"/>
      <c r="AO86" s="321">
        <f t="shared" si="70"/>
        <v>1</v>
      </c>
      <c r="AP86" s="73">
        <f t="shared" si="71"/>
        <v>0</v>
      </c>
      <c r="AQ86" s="322">
        <f t="shared" si="72"/>
        <v>0.0019131342879224</v>
      </c>
      <c r="AR86" s="323">
        <f t="shared" si="73"/>
        <v>0.0019122694711768418</v>
      </c>
      <c r="AS86" s="235"/>
      <c r="AT86" s="239"/>
      <c r="AU86" s="239"/>
      <c r="AV86" s="239"/>
      <c r="AW86" s="239"/>
      <c r="AX86" s="239"/>
      <c r="AY86" s="239"/>
      <c r="AZ86" s="239"/>
      <c r="BA86" s="239"/>
      <c r="BB86" s="319">
        <f t="shared" si="74"/>
        <v>1</v>
      </c>
      <c r="BC86" s="69">
        <f t="shared" si="97"/>
        <v>135</v>
      </c>
      <c r="BD86" s="320">
        <f t="shared" si="75"/>
        <v>134.93801821925095</v>
      </c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CA86" s="162">
        <f t="shared" si="76"/>
        <v>1</v>
      </c>
      <c r="CB86" s="162">
        <f t="shared" si="77"/>
        <v>0</v>
      </c>
      <c r="CC86" s="162">
        <f t="shared" si="78"/>
        <v>0</v>
      </c>
      <c r="CD86" s="162">
        <f t="shared" si="79"/>
        <v>0</v>
      </c>
      <c r="CE86" s="162">
        <f t="shared" si="80"/>
        <v>0</v>
      </c>
      <c r="CF86" s="162">
        <f t="shared" si="81"/>
        <v>0</v>
      </c>
      <c r="CG86" s="162">
        <f t="shared" si="82"/>
        <v>0</v>
      </c>
      <c r="CH86" s="162">
        <f t="shared" si="83"/>
        <v>0</v>
      </c>
      <c r="CI86" s="162">
        <f t="shared" si="84"/>
        <v>0</v>
      </c>
      <c r="CJ86" s="162">
        <f t="shared" si="85"/>
        <v>0</v>
      </c>
      <c r="CK86" s="162">
        <f t="shared" si="86"/>
        <v>0</v>
      </c>
      <c r="CL86" s="162">
        <f t="shared" si="87"/>
        <v>0</v>
      </c>
      <c r="CM86" s="162">
        <f t="shared" si="88"/>
        <v>0</v>
      </c>
      <c r="CN86" s="162">
        <f t="shared" si="89"/>
        <v>0</v>
      </c>
      <c r="CO86" s="162">
        <f t="shared" si="90"/>
        <v>1</v>
      </c>
      <c r="CP86" s="163">
        <f t="shared" si="101"/>
        <v>134.93801821925095</v>
      </c>
      <c r="CQ86" s="164"/>
      <c r="CR86" s="164"/>
      <c r="CS86" s="164"/>
      <c r="CT86" s="164"/>
      <c r="CU86" s="164"/>
      <c r="CV86" s="164"/>
      <c r="CW86" s="165">
        <f t="shared" si="91"/>
        <v>0</v>
      </c>
      <c r="CX86" s="165">
        <f t="shared" si="92"/>
        <v>376.47922508222666</v>
      </c>
      <c r="CY86" s="162">
        <f t="shared" si="93"/>
        <v>1</v>
      </c>
      <c r="CZ86" s="164"/>
    </row>
    <row r="87" spans="1:104" ht="12.75">
      <c r="A87" s="239"/>
      <c r="B87" s="166">
        <v>1</v>
      </c>
      <c r="C87" s="114">
        <v>1</v>
      </c>
      <c r="D87" s="233">
        <f t="shared" si="98"/>
        <v>26</v>
      </c>
      <c r="E87" s="157">
        <v>1</v>
      </c>
      <c r="F87" s="157">
        <v>0</v>
      </c>
      <c r="G87" s="464">
        <f t="shared" si="94"/>
        <v>13.107211074679439</v>
      </c>
      <c r="H87" s="195">
        <f t="shared" si="95"/>
        <v>0.0019109859667368167</v>
      </c>
      <c r="I87" s="71">
        <f t="shared" si="60"/>
        <v>-0.0019109859667368167</v>
      </c>
      <c r="J87" s="71">
        <f t="shared" si="61"/>
        <v>-0.06390699974335483</v>
      </c>
      <c r="K87" s="73">
        <f t="shared" si="62"/>
        <v>134.93610812418348</v>
      </c>
      <c r="L87" s="73">
        <f t="shared" si="63"/>
        <v>-0.0019100950674726391</v>
      </c>
      <c r="M87" s="71">
        <f t="shared" si="64"/>
        <v>0.0019100950674726391</v>
      </c>
      <c r="N87" s="71">
        <f t="shared" si="65"/>
        <v>8.908992641775814E-07</v>
      </c>
      <c r="O87" s="167">
        <f t="shared" si="66"/>
        <v>0</v>
      </c>
      <c r="P87" s="112"/>
      <c r="Q87" s="124">
        <f t="shared" si="96"/>
        <v>-19.030590933722614</v>
      </c>
      <c r="R87" s="124">
        <f t="shared" si="99"/>
        <v>98.30408306009579</v>
      </c>
      <c r="S87" s="124">
        <f t="shared" si="100"/>
        <v>13.107211074679439</v>
      </c>
      <c r="U87" s="203"/>
      <c r="V87" s="203"/>
      <c r="W87" s="203"/>
      <c r="X87" s="204"/>
      <c r="Y87" s="69"/>
      <c r="Z87" s="69"/>
      <c r="AA87" s="319">
        <f t="shared" si="67"/>
        <v>1</v>
      </c>
      <c r="AB87" s="69">
        <f t="shared" si="68"/>
        <v>-8.908992641775814E-07</v>
      </c>
      <c r="AC87" s="320">
        <f t="shared" si="69"/>
        <v>0</v>
      </c>
      <c r="AD87" s="69"/>
      <c r="AE87" s="244"/>
      <c r="AF87" s="239"/>
      <c r="AG87" s="239"/>
      <c r="AH87" s="239"/>
      <c r="AI87" s="244"/>
      <c r="AJ87" s="244"/>
      <c r="AK87" s="244"/>
      <c r="AL87" s="244"/>
      <c r="AM87" s="244"/>
      <c r="AN87" s="244"/>
      <c r="AO87" s="321">
        <f t="shared" si="70"/>
        <v>1</v>
      </c>
      <c r="AP87" s="73">
        <f t="shared" si="71"/>
        <v>0</v>
      </c>
      <c r="AQ87" s="322">
        <f t="shared" si="72"/>
        <v>0.0019109859667368167</v>
      </c>
      <c r="AR87" s="323">
        <f t="shared" si="73"/>
        <v>0.0019100950674726391</v>
      </c>
      <c r="AS87" s="235"/>
      <c r="AT87" s="239"/>
      <c r="AU87" s="239"/>
      <c r="AV87" s="239"/>
      <c r="AW87" s="239"/>
      <c r="AX87" s="239"/>
      <c r="AY87" s="239"/>
      <c r="AZ87" s="239"/>
      <c r="BA87" s="239"/>
      <c r="BB87" s="319">
        <f t="shared" si="74"/>
        <v>1</v>
      </c>
      <c r="BC87" s="69">
        <f t="shared" si="97"/>
        <v>135</v>
      </c>
      <c r="BD87" s="320">
        <f t="shared" si="75"/>
        <v>134.93610812418348</v>
      </c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CA87" s="162">
        <f t="shared" si="76"/>
        <v>1</v>
      </c>
      <c r="CB87" s="162">
        <f t="shared" si="77"/>
        <v>0</v>
      </c>
      <c r="CC87" s="162">
        <f t="shared" si="78"/>
        <v>0</v>
      </c>
      <c r="CD87" s="162">
        <f t="shared" si="79"/>
        <v>0</v>
      </c>
      <c r="CE87" s="162">
        <f t="shared" si="80"/>
        <v>0</v>
      </c>
      <c r="CF87" s="162">
        <f t="shared" si="81"/>
        <v>0</v>
      </c>
      <c r="CG87" s="162">
        <f t="shared" si="82"/>
        <v>0</v>
      </c>
      <c r="CH87" s="162">
        <f t="shared" si="83"/>
        <v>0</v>
      </c>
      <c r="CI87" s="162">
        <f t="shared" si="84"/>
        <v>0</v>
      </c>
      <c r="CJ87" s="162">
        <f t="shared" si="85"/>
        <v>0</v>
      </c>
      <c r="CK87" s="162">
        <f t="shared" si="86"/>
        <v>0</v>
      </c>
      <c r="CL87" s="162">
        <f t="shared" si="87"/>
        <v>0</v>
      </c>
      <c r="CM87" s="162">
        <f t="shared" si="88"/>
        <v>0</v>
      </c>
      <c r="CN87" s="162">
        <f t="shared" si="89"/>
        <v>0</v>
      </c>
      <c r="CO87" s="162">
        <f t="shared" si="90"/>
        <v>1</v>
      </c>
      <c r="CP87" s="163">
        <f t="shared" si="101"/>
        <v>134.93610812418348</v>
      </c>
      <c r="CQ87" s="164"/>
      <c r="CR87" s="164"/>
      <c r="CS87" s="164"/>
      <c r="CT87" s="164"/>
      <c r="CU87" s="164"/>
      <c r="CV87" s="164"/>
      <c r="CW87" s="165">
        <f t="shared" si="91"/>
        <v>0</v>
      </c>
      <c r="CX87" s="165">
        <f t="shared" si="92"/>
        <v>376.47922508222666</v>
      </c>
      <c r="CY87" s="162">
        <f t="shared" si="93"/>
        <v>1</v>
      </c>
      <c r="CZ87" s="164"/>
    </row>
    <row r="88" spans="1:104" ht="12.75">
      <c r="A88" s="239"/>
      <c r="B88" s="166">
        <v>1</v>
      </c>
      <c r="C88" s="114">
        <v>1</v>
      </c>
      <c r="D88" s="233">
        <f t="shared" si="98"/>
        <v>27</v>
      </c>
      <c r="E88" s="157">
        <v>1</v>
      </c>
      <c r="F88" s="157">
        <v>0</v>
      </c>
      <c r="G88" s="464">
        <f t="shared" si="94"/>
        <v>13.09216650961309</v>
      </c>
      <c r="H88" s="195">
        <f t="shared" si="95"/>
        <v>0.0019087925212697646</v>
      </c>
      <c r="I88" s="71">
        <f t="shared" si="60"/>
        <v>-0.0019087925212697646</v>
      </c>
      <c r="J88" s="71">
        <f t="shared" si="61"/>
        <v>-0.0658157922646246</v>
      </c>
      <c r="K88" s="73">
        <f t="shared" si="62"/>
        <v>134.9342002485304</v>
      </c>
      <c r="L88" s="73">
        <f t="shared" si="63"/>
        <v>-0.0019078756530745977</v>
      </c>
      <c r="M88" s="71">
        <f t="shared" si="64"/>
        <v>0.0019078756530745977</v>
      </c>
      <c r="N88" s="71">
        <f t="shared" si="65"/>
        <v>9.168681951669116E-07</v>
      </c>
      <c r="O88" s="167">
        <f t="shared" si="66"/>
        <v>0</v>
      </c>
      <c r="P88" s="112"/>
      <c r="Q88" s="124">
        <f t="shared" si="96"/>
        <v>-18.791917517696163</v>
      </c>
      <c r="R88" s="124">
        <f t="shared" si="99"/>
        <v>98.19124882209817</v>
      </c>
      <c r="S88" s="124">
        <f t="shared" si="100"/>
        <v>13.09216650961309</v>
      </c>
      <c r="U88" s="203"/>
      <c r="V88" s="203"/>
      <c r="W88" s="203"/>
      <c r="X88" s="204"/>
      <c r="Y88" s="69"/>
      <c r="Z88" s="69"/>
      <c r="AA88" s="319">
        <f t="shared" si="67"/>
        <v>1</v>
      </c>
      <c r="AB88" s="69">
        <f t="shared" si="68"/>
        <v>-9.168681951669116E-07</v>
      </c>
      <c r="AC88" s="320">
        <f t="shared" si="69"/>
        <v>0</v>
      </c>
      <c r="AD88" s="69"/>
      <c r="AE88" s="244"/>
      <c r="AF88" s="239"/>
      <c r="AG88" s="239"/>
      <c r="AH88" s="239"/>
      <c r="AI88" s="244"/>
      <c r="AJ88" s="244"/>
      <c r="AK88" s="244"/>
      <c r="AL88" s="244"/>
      <c r="AM88" s="244"/>
      <c r="AN88" s="244"/>
      <c r="AO88" s="321">
        <f t="shared" si="70"/>
        <v>1</v>
      </c>
      <c r="AP88" s="73">
        <f t="shared" si="71"/>
        <v>0</v>
      </c>
      <c r="AQ88" s="322">
        <f t="shared" si="72"/>
        <v>0.0019087925212697646</v>
      </c>
      <c r="AR88" s="323">
        <f t="shared" si="73"/>
        <v>0.0019078756530745977</v>
      </c>
      <c r="AS88" s="235"/>
      <c r="AT88" s="239"/>
      <c r="AU88" s="239"/>
      <c r="AV88" s="239"/>
      <c r="AW88" s="239"/>
      <c r="AX88" s="239"/>
      <c r="AY88" s="239"/>
      <c r="AZ88" s="239"/>
      <c r="BA88" s="239"/>
      <c r="BB88" s="319">
        <f t="shared" si="74"/>
        <v>1</v>
      </c>
      <c r="BC88" s="69">
        <f t="shared" si="97"/>
        <v>135</v>
      </c>
      <c r="BD88" s="320">
        <f t="shared" si="75"/>
        <v>134.9342002485304</v>
      </c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CA88" s="162">
        <f t="shared" si="76"/>
        <v>1</v>
      </c>
      <c r="CB88" s="162">
        <f t="shared" si="77"/>
        <v>0</v>
      </c>
      <c r="CC88" s="162">
        <f t="shared" si="78"/>
        <v>0</v>
      </c>
      <c r="CD88" s="162">
        <f t="shared" si="79"/>
        <v>0</v>
      </c>
      <c r="CE88" s="162">
        <f t="shared" si="80"/>
        <v>0</v>
      </c>
      <c r="CF88" s="162">
        <f t="shared" si="81"/>
        <v>0</v>
      </c>
      <c r="CG88" s="162">
        <f t="shared" si="82"/>
        <v>0</v>
      </c>
      <c r="CH88" s="162">
        <f t="shared" si="83"/>
        <v>0</v>
      </c>
      <c r="CI88" s="162">
        <f t="shared" si="84"/>
        <v>0</v>
      </c>
      <c r="CJ88" s="162">
        <f t="shared" si="85"/>
        <v>0</v>
      </c>
      <c r="CK88" s="162">
        <f t="shared" si="86"/>
        <v>0</v>
      </c>
      <c r="CL88" s="162">
        <f t="shared" si="87"/>
        <v>0</v>
      </c>
      <c r="CM88" s="162">
        <f t="shared" si="88"/>
        <v>0</v>
      </c>
      <c r="CN88" s="162">
        <f t="shared" si="89"/>
        <v>0</v>
      </c>
      <c r="CO88" s="162">
        <f t="shared" si="90"/>
        <v>1</v>
      </c>
      <c r="CP88" s="163">
        <f t="shared" si="101"/>
        <v>134.9342002485304</v>
      </c>
      <c r="CQ88" s="164"/>
      <c r="CR88" s="164"/>
      <c r="CS88" s="164"/>
      <c r="CT88" s="164"/>
      <c r="CU88" s="164"/>
      <c r="CV88" s="164"/>
      <c r="CW88" s="165">
        <f t="shared" si="91"/>
        <v>0</v>
      </c>
      <c r="CX88" s="165">
        <f t="shared" si="92"/>
        <v>376.47922508222666</v>
      </c>
      <c r="CY88" s="162">
        <f t="shared" si="93"/>
        <v>1</v>
      </c>
      <c r="CZ88" s="164"/>
    </row>
    <row r="89" spans="1:104" ht="12.75">
      <c r="A89" s="239"/>
      <c r="B89" s="166">
        <v>1</v>
      </c>
      <c r="C89" s="114">
        <v>1</v>
      </c>
      <c r="D89" s="233">
        <f t="shared" si="98"/>
        <v>28</v>
      </c>
      <c r="E89" s="157">
        <v>1</v>
      </c>
      <c r="F89" s="157">
        <v>0</v>
      </c>
      <c r="G89" s="464">
        <f t="shared" si="94"/>
        <v>13.076819422681105</v>
      </c>
      <c r="H89" s="195">
        <f t="shared" si="95"/>
        <v>0.0019065549691627442</v>
      </c>
      <c r="I89" s="71">
        <f t="shared" si="60"/>
        <v>-0.0019065549691627442</v>
      </c>
      <c r="J89" s="71">
        <f t="shared" si="61"/>
        <v>-0.06772234723378734</v>
      </c>
      <c r="K89" s="73">
        <f t="shared" si="62"/>
        <v>134.9322946362829</v>
      </c>
      <c r="L89" s="73">
        <f t="shared" si="63"/>
        <v>-0.0019056122474978565</v>
      </c>
      <c r="M89" s="71">
        <f t="shared" si="64"/>
        <v>0.0019056122474978565</v>
      </c>
      <c r="N89" s="71">
        <f t="shared" si="65"/>
        <v>9.427216648876576E-07</v>
      </c>
      <c r="O89" s="167">
        <f t="shared" si="66"/>
        <v>0</v>
      </c>
      <c r="P89" s="112"/>
      <c r="Q89" s="124">
        <f t="shared" si="96"/>
        <v>-18.547675650946424</v>
      </c>
      <c r="R89" s="124">
        <f t="shared" si="99"/>
        <v>98.07614567010829</v>
      </c>
      <c r="S89" s="124">
        <f t="shared" si="100"/>
        <v>13.076819422681105</v>
      </c>
      <c r="U89" s="203"/>
      <c r="V89" s="203"/>
      <c r="W89" s="203"/>
      <c r="X89" s="204"/>
      <c r="Y89" s="69"/>
      <c r="Z89" s="69"/>
      <c r="AA89" s="319">
        <f t="shared" si="67"/>
        <v>1</v>
      </c>
      <c r="AB89" s="69">
        <f t="shared" si="68"/>
        <v>-9.427216648876576E-07</v>
      </c>
      <c r="AC89" s="320">
        <f t="shared" si="69"/>
        <v>0</v>
      </c>
      <c r="AD89" s="69"/>
      <c r="AE89" s="244"/>
      <c r="AF89" s="239"/>
      <c r="AG89" s="239"/>
      <c r="AH89" s="239"/>
      <c r="AI89" s="244"/>
      <c r="AJ89" s="244"/>
      <c r="AK89" s="244"/>
      <c r="AL89" s="244"/>
      <c r="AM89" s="244"/>
      <c r="AN89" s="244"/>
      <c r="AO89" s="321">
        <f t="shared" si="70"/>
        <v>1</v>
      </c>
      <c r="AP89" s="73">
        <f t="shared" si="71"/>
        <v>0</v>
      </c>
      <c r="AQ89" s="322">
        <f t="shared" si="72"/>
        <v>0.0019065549691627442</v>
      </c>
      <c r="AR89" s="323">
        <f t="shared" si="73"/>
        <v>0.0019056122474978565</v>
      </c>
      <c r="AS89" s="235"/>
      <c r="AT89" s="239"/>
      <c r="AU89" s="239"/>
      <c r="AV89" s="239"/>
      <c r="AW89" s="239"/>
      <c r="AX89" s="239"/>
      <c r="AY89" s="239"/>
      <c r="AZ89" s="239"/>
      <c r="BA89" s="239"/>
      <c r="BB89" s="319">
        <f t="shared" si="74"/>
        <v>1</v>
      </c>
      <c r="BC89" s="69">
        <f t="shared" si="97"/>
        <v>135</v>
      </c>
      <c r="BD89" s="320">
        <f t="shared" si="75"/>
        <v>134.9322946362829</v>
      </c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CA89" s="162">
        <f t="shared" si="76"/>
        <v>1</v>
      </c>
      <c r="CB89" s="162">
        <f t="shared" si="77"/>
        <v>0</v>
      </c>
      <c r="CC89" s="162">
        <f t="shared" si="78"/>
        <v>0</v>
      </c>
      <c r="CD89" s="162">
        <f t="shared" si="79"/>
        <v>0</v>
      </c>
      <c r="CE89" s="162">
        <f t="shared" si="80"/>
        <v>0</v>
      </c>
      <c r="CF89" s="162">
        <f t="shared" si="81"/>
        <v>0</v>
      </c>
      <c r="CG89" s="162">
        <f t="shared" si="82"/>
        <v>0</v>
      </c>
      <c r="CH89" s="162">
        <f t="shared" si="83"/>
        <v>0</v>
      </c>
      <c r="CI89" s="162">
        <f t="shared" si="84"/>
        <v>0</v>
      </c>
      <c r="CJ89" s="162">
        <f t="shared" si="85"/>
        <v>0</v>
      </c>
      <c r="CK89" s="162">
        <f t="shared" si="86"/>
        <v>0</v>
      </c>
      <c r="CL89" s="162">
        <f t="shared" si="87"/>
        <v>0</v>
      </c>
      <c r="CM89" s="162">
        <f t="shared" si="88"/>
        <v>0</v>
      </c>
      <c r="CN89" s="162">
        <f t="shared" si="89"/>
        <v>0</v>
      </c>
      <c r="CO89" s="162">
        <f t="shared" si="90"/>
        <v>1</v>
      </c>
      <c r="CP89" s="163">
        <f t="shared" si="101"/>
        <v>134.9322946362829</v>
      </c>
      <c r="CQ89" s="164"/>
      <c r="CR89" s="164"/>
      <c r="CS89" s="164"/>
      <c r="CT89" s="164"/>
      <c r="CU89" s="164"/>
      <c r="CV89" s="164"/>
      <c r="CW89" s="165">
        <f t="shared" si="91"/>
        <v>0</v>
      </c>
      <c r="CX89" s="165">
        <f t="shared" si="92"/>
        <v>376.47922508222666</v>
      </c>
      <c r="CY89" s="162">
        <f t="shared" si="93"/>
        <v>1</v>
      </c>
      <c r="CZ89" s="164"/>
    </row>
    <row r="90" spans="1:104" ht="12.75">
      <c r="A90" s="239"/>
      <c r="B90" s="166">
        <v>1</v>
      </c>
      <c r="C90" s="114">
        <v>1</v>
      </c>
      <c r="D90" s="233">
        <f t="shared" si="98"/>
        <v>29</v>
      </c>
      <c r="E90" s="157">
        <v>1</v>
      </c>
      <c r="F90" s="157">
        <v>0</v>
      </c>
      <c r="G90" s="464">
        <f t="shared" si="94"/>
        <v>13.061176812127865</v>
      </c>
      <c r="H90" s="195">
        <f t="shared" si="95"/>
        <v>0.0019042743307355415</v>
      </c>
      <c r="I90" s="71">
        <f t="shared" si="60"/>
        <v>-0.0019042743307355415</v>
      </c>
      <c r="J90" s="71">
        <f t="shared" si="61"/>
        <v>-0.06962662156452289</v>
      </c>
      <c r="K90" s="73">
        <f t="shared" si="62"/>
        <v>134.93039133040995</v>
      </c>
      <c r="L90" s="73">
        <f t="shared" si="63"/>
        <v>-0.0019033058729576169</v>
      </c>
      <c r="M90" s="71">
        <f t="shared" si="64"/>
        <v>0.0019033058729576169</v>
      </c>
      <c r="N90" s="71">
        <f t="shared" si="65"/>
        <v>9.68457777924571E-07</v>
      </c>
      <c r="O90" s="167">
        <f t="shared" si="66"/>
        <v>0</v>
      </c>
      <c r="P90" s="112"/>
      <c r="Q90" s="124">
        <f t="shared" si="96"/>
        <v>-18.297937707609684</v>
      </c>
      <c r="R90" s="124">
        <f t="shared" si="99"/>
        <v>97.958826090959</v>
      </c>
      <c r="S90" s="124">
        <f t="shared" si="100"/>
        <v>13.061176812127865</v>
      </c>
      <c r="U90" s="203"/>
      <c r="V90" s="203"/>
      <c r="W90" s="203"/>
      <c r="X90" s="204"/>
      <c r="Y90" s="69"/>
      <c r="Z90" s="69"/>
      <c r="AA90" s="319">
        <f t="shared" si="67"/>
        <v>1</v>
      </c>
      <c r="AB90" s="69">
        <f t="shared" si="68"/>
        <v>-9.68457777924571E-07</v>
      </c>
      <c r="AC90" s="320">
        <f t="shared" si="69"/>
        <v>0</v>
      </c>
      <c r="AD90" s="69"/>
      <c r="AE90" s="244"/>
      <c r="AF90" s="239"/>
      <c r="AG90" s="239"/>
      <c r="AH90" s="239"/>
      <c r="AI90" s="244"/>
      <c r="AJ90" s="244"/>
      <c r="AK90" s="244"/>
      <c r="AL90" s="244"/>
      <c r="AM90" s="244"/>
      <c r="AN90" s="244"/>
      <c r="AO90" s="321">
        <f t="shared" si="70"/>
        <v>1</v>
      </c>
      <c r="AP90" s="73">
        <f t="shared" si="71"/>
        <v>0</v>
      </c>
      <c r="AQ90" s="322">
        <f t="shared" si="72"/>
        <v>0.0019042743307355415</v>
      </c>
      <c r="AR90" s="323">
        <f t="shared" si="73"/>
        <v>0.0019033058729576169</v>
      </c>
      <c r="AS90" s="235"/>
      <c r="AT90" s="239"/>
      <c r="AU90" s="239"/>
      <c r="AV90" s="239"/>
      <c r="AW90" s="239"/>
      <c r="AX90" s="239"/>
      <c r="AY90" s="239"/>
      <c r="AZ90" s="239"/>
      <c r="BA90" s="239"/>
      <c r="BB90" s="319">
        <f t="shared" si="74"/>
        <v>1</v>
      </c>
      <c r="BC90" s="69">
        <f t="shared" si="97"/>
        <v>135</v>
      </c>
      <c r="BD90" s="320">
        <f t="shared" si="75"/>
        <v>134.93039133040995</v>
      </c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CA90" s="162">
        <f t="shared" si="76"/>
        <v>1</v>
      </c>
      <c r="CB90" s="162">
        <f t="shared" si="77"/>
        <v>0</v>
      </c>
      <c r="CC90" s="162">
        <f t="shared" si="78"/>
        <v>0</v>
      </c>
      <c r="CD90" s="162">
        <f t="shared" si="79"/>
        <v>0</v>
      </c>
      <c r="CE90" s="162">
        <f t="shared" si="80"/>
        <v>0</v>
      </c>
      <c r="CF90" s="162">
        <f t="shared" si="81"/>
        <v>0</v>
      </c>
      <c r="CG90" s="162">
        <f t="shared" si="82"/>
        <v>0</v>
      </c>
      <c r="CH90" s="162">
        <f t="shared" si="83"/>
        <v>0</v>
      </c>
      <c r="CI90" s="162">
        <f t="shared" si="84"/>
        <v>0</v>
      </c>
      <c r="CJ90" s="162">
        <f t="shared" si="85"/>
        <v>0</v>
      </c>
      <c r="CK90" s="162">
        <f t="shared" si="86"/>
        <v>0</v>
      </c>
      <c r="CL90" s="162">
        <f t="shared" si="87"/>
        <v>0</v>
      </c>
      <c r="CM90" s="162">
        <f t="shared" si="88"/>
        <v>0</v>
      </c>
      <c r="CN90" s="162">
        <f t="shared" si="89"/>
        <v>0</v>
      </c>
      <c r="CO90" s="162">
        <f t="shared" si="90"/>
        <v>1</v>
      </c>
      <c r="CP90" s="163">
        <f t="shared" si="101"/>
        <v>134.93039133040995</v>
      </c>
      <c r="CQ90" s="164"/>
      <c r="CR90" s="164"/>
      <c r="CS90" s="164"/>
      <c r="CT90" s="164"/>
      <c r="CU90" s="164"/>
      <c r="CV90" s="164"/>
      <c r="CW90" s="165">
        <f t="shared" si="91"/>
        <v>0</v>
      </c>
      <c r="CX90" s="165">
        <f t="shared" si="92"/>
        <v>376.47922508222666</v>
      </c>
      <c r="CY90" s="162">
        <f t="shared" si="93"/>
        <v>1</v>
      </c>
      <c r="CZ90" s="164"/>
    </row>
    <row r="91" spans="1:104" ht="13.5" thickBot="1">
      <c r="A91" s="239"/>
      <c r="B91" s="166">
        <v>1</v>
      </c>
      <c r="C91" s="114">
        <v>1</v>
      </c>
      <c r="D91" s="233">
        <f t="shared" si="98"/>
        <v>30</v>
      </c>
      <c r="E91" s="157">
        <v>1</v>
      </c>
      <c r="F91" s="157">
        <v>0</v>
      </c>
      <c r="G91" s="464">
        <f t="shared" si="94"/>
        <v>13.04524568628848</v>
      </c>
      <c r="H91" s="195">
        <f t="shared" si="95"/>
        <v>0.0019019516277791364</v>
      </c>
      <c r="I91" s="71">
        <f t="shared" si="60"/>
        <v>-0.0019019516277791364</v>
      </c>
      <c r="J91" s="71">
        <f t="shared" si="61"/>
        <v>-0.07152857319230202</v>
      </c>
      <c r="K91" s="73">
        <f t="shared" si="62"/>
        <v>134.9284903728569</v>
      </c>
      <c r="L91" s="73">
        <f t="shared" si="63"/>
        <v>-0.0019009575530333223</v>
      </c>
      <c r="M91" s="71">
        <f t="shared" si="64"/>
        <v>0.0019009575530333223</v>
      </c>
      <c r="N91" s="71">
        <f t="shared" si="65"/>
        <v>9.94074745814177E-07</v>
      </c>
      <c r="O91" s="167">
        <f t="shared" si="66"/>
        <v>0</v>
      </c>
      <c r="P91" s="112"/>
      <c r="Q91" s="124">
        <f t="shared" si="96"/>
        <v>-18.04277769042834</v>
      </c>
      <c r="R91" s="124">
        <f t="shared" si="99"/>
        <v>97.8393426471636</v>
      </c>
      <c r="S91" s="124">
        <f t="shared" si="100"/>
        <v>13.04524568628848</v>
      </c>
      <c r="U91" s="203"/>
      <c r="V91" s="203"/>
      <c r="W91" s="203"/>
      <c r="X91" s="204"/>
      <c r="Y91" s="69"/>
      <c r="Z91" s="69"/>
      <c r="AA91" s="312">
        <f t="shared" si="67"/>
        <v>1</v>
      </c>
      <c r="AB91" s="327">
        <f t="shared" si="68"/>
        <v>-9.94074745814177E-07</v>
      </c>
      <c r="AC91" s="328">
        <f t="shared" si="69"/>
        <v>0</v>
      </c>
      <c r="AD91" s="69"/>
      <c r="AE91" s="244"/>
      <c r="AF91" s="239"/>
      <c r="AG91" s="239"/>
      <c r="AH91" s="239"/>
      <c r="AI91" s="244"/>
      <c r="AJ91" s="244"/>
      <c r="AK91" s="244"/>
      <c r="AL91" s="244"/>
      <c r="AM91" s="244"/>
      <c r="AN91" s="244"/>
      <c r="AO91" s="329">
        <f t="shared" si="70"/>
        <v>1</v>
      </c>
      <c r="AP91" s="330">
        <f t="shared" si="71"/>
        <v>0</v>
      </c>
      <c r="AQ91" s="331">
        <f t="shared" si="72"/>
        <v>0.0019019516277791364</v>
      </c>
      <c r="AR91" s="318">
        <f t="shared" si="73"/>
        <v>0.0019009575530333223</v>
      </c>
      <c r="AS91" s="235"/>
      <c r="AT91" s="239"/>
      <c r="AU91" s="239"/>
      <c r="AV91" s="239"/>
      <c r="AW91" s="239"/>
      <c r="AX91" s="239"/>
      <c r="AY91" s="239"/>
      <c r="AZ91" s="239"/>
      <c r="BA91" s="239"/>
      <c r="BB91" s="312">
        <f t="shared" si="74"/>
        <v>1</v>
      </c>
      <c r="BC91" s="327">
        <f t="shared" si="97"/>
        <v>135</v>
      </c>
      <c r="BD91" s="328">
        <f t="shared" si="75"/>
        <v>134.9284903728569</v>
      </c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CA91" s="162">
        <f t="shared" si="76"/>
        <v>1</v>
      </c>
      <c r="CB91" s="162">
        <f t="shared" si="77"/>
        <v>0</v>
      </c>
      <c r="CC91" s="162">
        <f t="shared" si="78"/>
        <v>0</v>
      </c>
      <c r="CD91" s="162">
        <f t="shared" si="79"/>
        <v>0</v>
      </c>
      <c r="CE91" s="162">
        <f t="shared" si="80"/>
        <v>0</v>
      </c>
      <c r="CF91" s="162">
        <f t="shared" si="81"/>
        <v>0</v>
      </c>
      <c r="CG91" s="162">
        <f t="shared" si="82"/>
        <v>0</v>
      </c>
      <c r="CH91" s="162">
        <f t="shared" si="83"/>
        <v>0</v>
      </c>
      <c r="CI91" s="162">
        <f t="shared" si="84"/>
        <v>0</v>
      </c>
      <c r="CJ91" s="162">
        <f t="shared" si="85"/>
        <v>0</v>
      </c>
      <c r="CK91" s="162">
        <f t="shared" si="86"/>
        <v>0</v>
      </c>
      <c r="CL91" s="162">
        <f t="shared" si="87"/>
        <v>0</v>
      </c>
      <c r="CM91" s="162">
        <f t="shared" si="88"/>
        <v>0</v>
      </c>
      <c r="CN91" s="162">
        <f t="shared" si="89"/>
        <v>0</v>
      </c>
      <c r="CO91" s="162">
        <f t="shared" si="90"/>
        <v>1</v>
      </c>
      <c r="CP91" s="163">
        <f t="shared" si="101"/>
        <v>134.9284903728569</v>
      </c>
      <c r="CQ91" s="164"/>
      <c r="CR91" s="164"/>
      <c r="CS91" s="164"/>
      <c r="CT91" s="164"/>
      <c r="CU91" s="164"/>
      <c r="CV91" s="164"/>
      <c r="CW91" s="165">
        <f t="shared" si="91"/>
        <v>0</v>
      </c>
      <c r="CX91" s="165">
        <f t="shared" si="92"/>
        <v>376.47922508222666</v>
      </c>
      <c r="CY91" s="162">
        <f t="shared" si="93"/>
        <v>1</v>
      </c>
      <c r="CZ91" s="164"/>
    </row>
    <row r="92" spans="1:104" ht="13.5" thickBot="1">
      <c r="A92" s="239"/>
      <c r="B92" s="170" t="s">
        <v>77</v>
      </c>
      <c r="C92" s="171"/>
      <c r="D92" s="172"/>
      <c r="E92" s="173">
        <f>SUM(E19:E54)</f>
        <v>765.6999999999999</v>
      </c>
      <c r="F92" s="173">
        <f>SUM(F19:F54)</f>
        <v>1253.6000000000001</v>
      </c>
      <c r="G92" s="173">
        <f>SUM(G19:G54)</f>
        <v>432.02095345635763</v>
      </c>
      <c r="H92" s="172"/>
      <c r="I92" s="172"/>
      <c r="J92" s="173">
        <f aca="true" t="shared" si="102" ref="J92:O92">SUM(J19:J54)</f>
        <v>-981.8881824092291</v>
      </c>
      <c r="K92" s="173">
        <f t="shared" si="102"/>
        <v>4048.800790130627</v>
      </c>
      <c r="L92" s="173">
        <f t="shared" si="102"/>
        <v>0</v>
      </c>
      <c r="M92" s="173">
        <f t="shared" si="102"/>
        <v>970.4078871693632</v>
      </c>
      <c r="N92" s="173">
        <f t="shared" si="102"/>
        <v>25.144323963758804</v>
      </c>
      <c r="O92" s="174">
        <f t="shared" si="102"/>
        <v>283.1921128306366</v>
      </c>
      <c r="P92" s="112"/>
      <c r="Q92" s="25"/>
      <c r="R92" s="25"/>
      <c r="S92" s="25"/>
      <c r="T92" s="25"/>
      <c r="U92" s="113"/>
      <c r="V92" s="113"/>
      <c r="W92" s="113"/>
      <c r="X92" s="205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CA92" s="162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2">
        <f>SUM(CN19:CN54)</f>
        <v>0</v>
      </c>
      <c r="CO92" s="164"/>
      <c r="CP92" s="164"/>
      <c r="CQ92" s="164"/>
      <c r="CR92" s="164"/>
      <c r="CS92" s="164"/>
      <c r="CT92" s="164"/>
      <c r="CU92" s="164"/>
      <c r="CV92" s="164"/>
      <c r="CW92" s="164">
        <f>LARGE(CW19:CW54,1)</f>
        <v>183.23440495519907</v>
      </c>
      <c r="CX92" s="164">
        <f>LARGE(CX19:CX54,1)</f>
        <v>376.47922508222666</v>
      </c>
      <c r="CY92" s="164"/>
      <c r="CZ92" s="164"/>
    </row>
    <row r="93" spans="1:104" ht="13.5" thickBot="1">
      <c r="A93" s="239"/>
      <c r="B93" s="170" t="s">
        <v>78</v>
      </c>
      <c r="C93" s="171"/>
      <c r="D93" s="172"/>
      <c r="E93" s="173">
        <f>AVERAGE(E19:E54)</f>
        <v>21.269444444444442</v>
      </c>
      <c r="F93" s="173">
        <f>AVERAGE(F19:F54)</f>
        <v>34.82222222222222</v>
      </c>
      <c r="G93" s="173">
        <f>AVERAGE(G19:G54)</f>
        <v>12.000582040454379</v>
      </c>
      <c r="H93" s="172"/>
      <c r="I93" s="172"/>
      <c r="J93" s="173">
        <f aca="true" t="shared" si="103" ref="J93:O93">AVERAGE(J19:J54)</f>
        <v>-27.2746717335897</v>
      </c>
      <c r="K93" s="173">
        <f t="shared" si="103"/>
        <v>112.46668861473964</v>
      </c>
      <c r="L93" s="173">
        <f t="shared" si="103"/>
        <v>0</v>
      </c>
      <c r="M93" s="173">
        <f t="shared" si="103"/>
        <v>26.955774643593422</v>
      </c>
      <c r="N93" s="173">
        <f t="shared" si="103"/>
        <v>0.6984534434377445</v>
      </c>
      <c r="O93" s="174">
        <f t="shared" si="103"/>
        <v>7.866447578628794</v>
      </c>
      <c r="P93" s="198"/>
      <c r="Q93" s="175"/>
      <c r="R93" s="175"/>
      <c r="S93" s="175"/>
      <c r="T93" s="175"/>
      <c r="U93" s="206"/>
      <c r="V93" s="206"/>
      <c r="W93" s="206"/>
      <c r="X93" s="207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CA93" s="162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>
        <f>IF(CX92&lt;CA9,1,0)</f>
        <v>0</v>
      </c>
      <c r="CY93" s="164"/>
      <c r="CZ93" s="164"/>
    </row>
    <row r="94" spans="1:104" ht="12.75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44"/>
      <c r="O94" s="244"/>
      <c r="P94" s="244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CA94" s="162"/>
      <c r="CB94" s="164"/>
      <c r="CC94" s="164"/>
      <c r="CD94" s="162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</row>
    <row r="95" spans="1:104" ht="12.75">
      <c r="A95" s="239"/>
      <c r="B95" s="239"/>
      <c r="C95" s="239"/>
      <c r="D95" s="239"/>
      <c r="E95" s="239"/>
      <c r="F95" s="239"/>
      <c r="G95" s="239" t="s">
        <v>18</v>
      </c>
      <c r="H95" s="239"/>
      <c r="I95" s="239"/>
      <c r="J95" s="239" t="s">
        <v>18</v>
      </c>
      <c r="K95" s="239" t="s">
        <v>18</v>
      </c>
      <c r="L95" s="239"/>
      <c r="M95" s="239"/>
      <c r="N95" s="244"/>
      <c r="O95" s="244"/>
      <c r="P95" s="244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411" t="s">
        <v>119</v>
      </c>
      <c r="AP95" s="412" t="s">
        <v>42</v>
      </c>
      <c r="AQ95" s="412" t="s">
        <v>41</v>
      </c>
      <c r="AR95" s="412" t="s">
        <v>85</v>
      </c>
      <c r="AS95" s="413" t="s">
        <v>86</v>
      </c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CA95" s="162"/>
      <c r="CB95" s="164"/>
      <c r="CC95" s="164"/>
      <c r="CD95" s="162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</row>
    <row r="96" spans="1:104" ht="12.75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44"/>
      <c r="O96" s="244"/>
      <c r="P96" s="244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414" t="str">
        <f>B19</f>
        <v>J1</v>
      </c>
      <c r="AP96" s="415">
        <f>O19</f>
        <v>17.985980757143977</v>
      </c>
      <c r="AQ96" s="415">
        <f>-N19</f>
        <v>0</v>
      </c>
      <c r="AR96" s="415">
        <f>IF(L19&lt;0,L19,0)</f>
        <v>0</v>
      </c>
      <c r="AS96" s="416">
        <f>IF(L19&gt;=0,L19,0)</f>
        <v>0</v>
      </c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CA96" s="162"/>
      <c r="CB96" s="164"/>
      <c r="CC96" s="164"/>
      <c r="CD96" s="162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</row>
    <row r="97" spans="1:104" ht="12.75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44"/>
      <c r="O97" s="244"/>
      <c r="P97" s="244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414" t="str">
        <f aca="true" t="shared" si="104" ref="AO97:AO161">B20</f>
        <v>J2</v>
      </c>
      <c r="AP97" s="415">
        <f aca="true" t="shared" si="105" ref="AP97:AP160">O20</f>
        <v>68.11939485537802</v>
      </c>
      <c r="AQ97" s="415">
        <f aca="true" t="shared" si="106" ref="AQ97:AQ160">-N20</f>
        <v>0</v>
      </c>
      <c r="AR97" s="415">
        <f aca="true" t="shared" si="107" ref="AR97:AR160">IF(L20&lt;0,L20,0)</f>
        <v>0</v>
      </c>
      <c r="AS97" s="416">
        <f aca="true" t="shared" si="108" ref="AS97:AS160">IF(L20&gt;=0,L20,0)</f>
        <v>0</v>
      </c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CA97" s="162"/>
      <c r="CB97" s="164"/>
      <c r="CC97" s="164"/>
      <c r="CD97" s="162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</row>
    <row r="98" spans="1:104" ht="12.75">
      <c r="A98" s="239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44"/>
      <c r="O98" s="244"/>
      <c r="P98" s="244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414" t="str">
        <f t="shared" si="104"/>
        <v>J3</v>
      </c>
      <c r="AP98" s="415">
        <f t="shared" si="105"/>
        <v>27.116455238223036</v>
      </c>
      <c r="AQ98" s="415">
        <f t="shared" si="106"/>
        <v>0</v>
      </c>
      <c r="AR98" s="415">
        <f t="shared" si="107"/>
        <v>0</v>
      </c>
      <c r="AS98" s="416">
        <f t="shared" si="108"/>
        <v>0</v>
      </c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CA98" s="162"/>
      <c r="CB98" s="164"/>
      <c r="CC98" s="164"/>
      <c r="CD98" s="162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</row>
    <row r="99" spans="1:104" ht="12.75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44"/>
      <c r="O99" s="244"/>
      <c r="P99" s="244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414" t="str">
        <f t="shared" si="104"/>
        <v>F1</v>
      </c>
      <c r="AP99" s="415">
        <f t="shared" si="105"/>
        <v>12.814049123019906</v>
      </c>
      <c r="AQ99" s="415">
        <f t="shared" si="106"/>
        <v>0</v>
      </c>
      <c r="AR99" s="415">
        <f t="shared" si="107"/>
        <v>0</v>
      </c>
      <c r="AS99" s="416">
        <f t="shared" si="108"/>
        <v>0</v>
      </c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CA99" s="162"/>
      <c r="CB99" s="164"/>
      <c r="CC99" s="164"/>
      <c r="CD99" s="162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</row>
    <row r="100" spans="1:104" ht="12.75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44"/>
      <c r="O100" s="244"/>
      <c r="P100" s="244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414" t="str">
        <f t="shared" si="104"/>
        <v>F2</v>
      </c>
      <c r="AP100" s="415">
        <f t="shared" si="105"/>
        <v>57.198524981434126</v>
      </c>
      <c r="AQ100" s="415">
        <f t="shared" si="106"/>
        <v>0</v>
      </c>
      <c r="AR100" s="415">
        <f t="shared" si="107"/>
        <v>0</v>
      </c>
      <c r="AS100" s="416">
        <f t="shared" si="108"/>
        <v>0</v>
      </c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CA100" s="162"/>
      <c r="CB100" s="164"/>
      <c r="CC100" s="164"/>
      <c r="CD100" s="162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</row>
    <row r="101" spans="1:104" ht="12.75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414" t="str">
        <f t="shared" si="104"/>
        <v>F3</v>
      </c>
      <c r="AP101" s="415">
        <f t="shared" si="105"/>
        <v>0</v>
      </c>
      <c r="AQ101" s="415">
        <f t="shared" si="106"/>
        <v>-0.00625964638744847</v>
      </c>
      <c r="AR101" s="415">
        <f t="shared" si="107"/>
        <v>-1.2958704567474513</v>
      </c>
      <c r="AS101" s="416">
        <f t="shared" si="108"/>
        <v>0</v>
      </c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CA101" s="164"/>
      <c r="CB101" s="164"/>
      <c r="CC101" s="164"/>
      <c r="CD101" s="162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</row>
    <row r="102" spans="1:104" ht="12.75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414" t="str">
        <f t="shared" si="104"/>
        <v>M1</v>
      </c>
      <c r="AP102" s="415">
        <f t="shared" si="105"/>
        <v>34.33482265630123</v>
      </c>
      <c r="AQ102" s="415">
        <f t="shared" si="106"/>
        <v>0</v>
      </c>
      <c r="AR102" s="415">
        <f t="shared" si="107"/>
        <v>0</v>
      </c>
      <c r="AS102" s="416">
        <f t="shared" si="108"/>
        <v>1.2958704567474513</v>
      </c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CA102" s="164"/>
      <c r="CB102" s="164"/>
      <c r="CC102" s="164"/>
      <c r="CD102" s="162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</row>
    <row r="103" spans="1:104" ht="12.75">
      <c r="A103" s="239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414" t="str">
        <f t="shared" si="104"/>
        <v>M2</v>
      </c>
      <c r="AP103" s="415">
        <f t="shared" si="105"/>
        <v>5.899301238062236</v>
      </c>
      <c r="AQ103" s="415">
        <f t="shared" si="106"/>
        <v>0</v>
      </c>
      <c r="AR103" s="415">
        <f t="shared" si="107"/>
        <v>0</v>
      </c>
      <c r="AS103" s="416">
        <f t="shared" si="108"/>
        <v>0</v>
      </c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CA103" s="164"/>
      <c r="CB103" s="164"/>
      <c r="CC103" s="164"/>
      <c r="CD103" s="162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</row>
    <row r="104" spans="1:104" ht="12.75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414" t="str">
        <f t="shared" si="104"/>
        <v>M3</v>
      </c>
      <c r="AP104" s="415">
        <f t="shared" si="105"/>
        <v>0</v>
      </c>
      <c r="AQ104" s="415">
        <f t="shared" si="106"/>
        <v>-0.07594137118459088</v>
      </c>
      <c r="AR104" s="415">
        <f t="shared" si="107"/>
        <v>-4.477667634791487</v>
      </c>
      <c r="AS104" s="416">
        <f t="shared" si="108"/>
        <v>0</v>
      </c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CA104" s="164"/>
      <c r="CB104" s="164"/>
      <c r="CC104" s="164"/>
      <c r="CD104" s="162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</row>
    <row r="105" spans="1:104" ht="12.75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414" t="str">
        <f t="shared" si="104"/>
        <v>A1</v>
      </c>
      <c r="AP105" s="415">
        <f t="shared" si="105"/>
        <v>0.5581078883913229</v>
      </c>
      <c r="AQ105" s="415">
        <f t="shared" si="106"/>
        <v>0</v>
      </c>
      <c r="AR105" s="415">
        <f t="shared" si="107"/>
        <v>0</v>
      </c>
      <c r="AS105" s="416">
        <f t="shared" si="108"/>
        <v>4.477667634791487</v>
      </c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CA105" s="164"/>
      <c r="CB105" s="164"/>
      <c r="CC105" s="164"/>
      <c r="CD105" s="162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</row>
    <row r="106" spans="1:104" ht="12.75">
      <c r="A106" s="239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414" t="str">
        <f t="shared" si="104"/>
        <v>A2</v>
      </c>
      <c r="AP106" s="415">
        <f t="shared" si="105"/>
        <v>0</v>
      </c>
      <c r="AQ106" s="415">
        <f t="shared" si="106"/>
        <v>-0.04610277826402154</v>
      </c>
      <c r="AR106" s="415">
        <f t="shared" si="107"/>
        <v>-3.4974689058300044</v>
      </c>
      <c r="AS106" s="416">
        <f t="shared" si="108"/>
        <v>0</v>
      </c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CA106" s="164"/>
      <c r="CB106" s="164"/>
      <c r="CC106" s="164"/>
      <c r="CD106" s="162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</row>
    <row r="107" spans="1:104" ht="12.75">
      <c r="A107" s="239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414" t="str">
        <f t="shared" si="104"/>
        <v>A3</v>
      </c>
      <c r="AP107" s="415">
        <f t="shared" si="105"/>
        <v>0</v>
      </c>
      <c r="AQ107" s="415">
        <f t="shared" si="106"/>
        <v>-1.1896710908422392</v>
      </c>
      <c r="AR107" s="415">
        <f t="shared" si="107"/>
        <v>-13.95447376523552</v>
      </c>
      <c r="AS107" s="416">
        <f t="shared" si="108"/>
        <v>0</v>
      </c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CA107" s="164"/>
      <c r="CB107" s="164"/>
      <c r="CC107" s="164"/>
      <c r="CD107" s="162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</row>
    <row r="108" spans="1:104" ht="12.75">
      <c r="A108" s="23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414" t="str">
        <f t="shared" si="104"/>
        <v>M1</v>
      </c>
      <c r="AP108" s="415">
        <f t="shared" si="105"/>
        <v>0</v>
      </c>
      <c r="AQ108" s="415">
        <f t="shared" si="106"/>
        <v>-1.457927662777692</v>
      </c>
      <c r="AR108" s="415">
        <f t="shared" si="107"/>
        <v>-7.7514463302171634</v>
      </c>
      <c r="AS108" s="416">
        <f t="shared" si="108"/>
        <v>0</v>
      </c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239"/>
      <c r="BJ108" s="239"/>
      <c r="BK108" s="239"/>
      <c r="BL108" s="239"/>
      <c r="BM108" s="239"/>
      <c r="BN108" s="239"/>
      <c r="CA108" s="164"/>
      <c r="CB108" s="164"/>
      <c r="CC108" s="164"/>
      <c r="CD108" s="162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</row>
    <row r="109" spans="1:104" ht="12.75">
      <c r="A109" s="239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414" t="str">
        <f t="shared" si="104"/>
        <v>M2</v>
      </c>
      <c r="AP109" s="415">
        <f t="shared" si="105"/>
        <v>0</v>
      </c>
      <c r="AQ109" s="415">
        <f t="shared" si="106"/>
        <v>0</v>
      </c>
      <c r="AR109" s="415">
        <f t="shared" si="107"/>
        <v>0</v>
      </c>
      <c r="AS109" s="416">
        <f t="shared" si="108"/>
        <v>12.643594962387581</v>
      </c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CA109" s="164"/>
      <c r="CB109" s="164"/>
      <c r="CC109" s="164"/>
      <c r="CD109" s="162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</row>
    <row r="110" spans="1:104" ht="12.75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414" t="str">
        <f t="shared" si="104"/>
        <v>M3</v>
      </c>
      <c r="AP110" s="415">
        <f t="shared" si="105"/>
        <v>0</v>
      </c>
      <c r="AQ110" s="415">
        <f t="shared" si="106"/>
        <v>-1.4872590286024376</v>
      </c>
      <c r="AR110" s="415">
        <f t="shared" si="107"/>
        <v>-9.925562356868213</v>
      </c>
      <c r="AS110" s="416">
        <f t="shared" si="108"/>
        <v>0</v>
      </c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CA110" s="164"/>
      <c r="CB110" s="164"/>
      <c r="CC110" s="164"/>
      <c r="CD110" s="162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</row>
    <row r="111" spans="1:104" ht="12.75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414" t="str">
        <f t="shared" si="104"/>
        <v>J1</v>
      </c>
      <c r="AP111" s="415">
        <f t="shared" si="105"/>
        <v>0</v>
      </c>
      <c r="AQ111" s="415">
        <f t="shared" si="106"/>
        <v>-0.09589649906133246</v>
      </c>
      <c r="AR111" s="415">
        <f t="shared" si="107"/>
        <v>-0.4738496587508223</v>
      </c>
      <c r="AS111" s="416">
        <f t="shared" si="108"/>
        <v>0</v>
      </c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CA111" s="164"/>
      <c r="CB111" s="164"/>
      <c r="CC111" s="164"/>
      <c r="CD111" s="162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</row>
    <row r="112" spans="1:104" ht="12.75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414" t="str">
        <f t="shared" si="104"/>
        <v>J2</v>
      </c>
      <c r="AP112" s="415">
        <f t="shared" si="105"/>
        <v>0</v>
      </c>
      <c r="AQ112" s="415">
        <f t="shared" si="106"/>
        <v>0</v>
      </c>
      <c r="AR112" s="415">
        <f t="shared" si="107"/>
        <v>0</v>
      </c>
      <c r="AS112" s="416">
        <f t="shared" si="108"/>
        <v>6.525947919676938</v>
      </c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CA112" s="164"/>
      <c r="CB112" s="164"/>
      <c r="CC112" s="164"/>
      <c r="CD112" s="162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</row>
    <row r="113" spans="1:104" ht="12.75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414" t="str">
        <f t="shared" si="104"/>
        <v>J3</v>
      </c>
      <c r="AP113" s="415">
        <f t="shared" si="105"/>
        <v>0</v>
      </c>
      <c r="AQ113" s="415">
        <f t="shared" si="106"/>
        <v>-1.0746836403968594</v>
      </c>
      <c r="AR113" s="415">
        <f t="shared" si="107"/>
        <v>-6.319274302109477</v>
      </c>
      <c r="AS113" s="416">
        <f t="shared" si="108"/>
        <v>0</v>
      </c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CA113" s="164"/>
      <c r="CB113" s="164"/>
      <c r="CC113" s="164"/>
      <c r="CD113" s="162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</row>
    <row r="114" spans="1:104" ht="12.75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414" t="str">
        <f t="shared" si="104"/>
        <v>J1</v>
      </c>
      <c r="AP114" s="415">
        <f t="shared" si="105"/>
        <v>0</v>
      </c>
      <c r="AQ114" s="415">
        <f t="shared" si="106"/>
        <v>0</v>
      </c>
      <c r="AR114" s="415">
        <f t="shared" si="107"/>
        <v>0</v>
      </c>
      <c r="AS114" s="416">
        <f t="shared" si="108"/>
        <v>5.119799662893186</v>
      </c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CA114" s="164"/>
      <c r="CB114" s="164"/>
      <c r="CC114" s="164"/>
      <c r="CD114" s="162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</row>
    <row r="115" spans="1:104" ht="12.75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414" t="str">
        <f t="shared" si="104"/>
        <v>J2</v>
      </c>
      <c r="AP115" s="415">
        <f t="shared" si="105"/>
        <v>0</v>
      </c>
      <c r="AQ115" s="415">
        <f t="shared" si="106"/>
        <v>-0.852774358482753</v>
      </c>
      <c r="AR115" s="415">
        <f t="shared" si="107"/>
        <v>-4.877959969364085</v>
      </c>
      <c r="AS115" s="416">
        <f t="shared" si="108"/>
        <v>0</v>
      </c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CA115" s="164"/>
      <c r="CB115" s="164"/>
      <c r="CC115" s="164"/>
      <c r="CD115" s="162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</row>
    <row r="116" spans="1:104" ht="12.75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414" t="str">
        <f t="shared" si="104"/>
        <v>J3</v>
      </c>
      <c r="AP116" s="415">
        <f t="shared" si="105"/>
        <v>0</v>
      </c>
      <c r="AQ116" s="415">
        <f t="shared" si="106"/>
        <v>-3.7532394797852895</v>
      </c>
      <c r="AR116" s="415">
        <f t="shared" si="107"/>
        <v>-13.483458691032894</v>
      </c>
      <c r="AS116" s="416">
        <f t="shared" si="108"/>
        <v>0</v>
      </c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CA116" s="164"/>
      <c r="CB116" s="164"/>
      <c r="CC116" s="164"/>
      <c r="CD116" s="162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</row>
    <row r="117" spans="1:104" ht="12.75">
      <c r="A117" s="239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414" t="str">
        <f t="shared" si="104"/>
        <v>A1</v>
      </c>
      <c r="AP117" s="415">
        <f t="shared" si="105"/>
        <v>0</v>
      </c>
      <c r="AQ117" s="415">
        <f t="shared" si="106"/>
        <v>-5.038197601965699</v>
      </c>
      <c r="AR117" s="415">
        <f t="shared" si="107"/>
        <v>-11.258249265219433</v>
      </c>
      <c r="AS117" s="416">
        <f t="shared" si="108"/>
        <v>0</v>
      </c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CA117" s="164"/>
      <c r="CB117" s="164"/>
      <c r="CC117" s="164"/>
      <c r="CD117" s="162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</row>
    <row r="118" spans="1:104" ht="12.75">
      <c r="A118" s="239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414" t="str">
        <f t="shared" si="104"/>
        <v>A2</v>
      </c>
      <c r="AP118" s="415">
        <f t="shared" si="105"/>
        <v>0</v>
      </c>
      <c r="AQ118" s="415">
        <f t="shared" si="106"/>
        <v>-2.6252332484055003</v>
      </c>
      <c r="AR118" s="415">
        <f t="shared" si="107"/>
        <v>-4.529149466714443</v>
      </c>
      <c r="AS118" s="416">
        <f t="shared" si="108"/>
        <v>0</v>
      </c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CA118" s="164"/>
      <c r="CB118" s="164"/>
      <c r="CC118" s="164"/>
      <c r="CD118" s="162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</row>
    <row r="119" spans="1:104" ht="12.75">
      <c r="A119" s="239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414" t="str">
        <f t="shared" si="104"/>
        <v>A3</v>
      </c>
      <c r="AP119" s="415">
        <f t="shared" si="105"/>
        <v>0</v>
      </c>
      <c r="AQ119" s="415">
        <f t="shared" si="106"/>
        <v>-1.2502322233453036</v>
      </c>
      <c r="AR119" s="415">
        <f t="shared" si="107"/>
        <v>-1.9488194009615114</v>
      </c>
      <c r="AS119" s="416">
        <f t="shared" si="108"/>
        <v>0</v>
      </c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CA119" s="164"/>
      <c r="CB119" s="164"/>
      <c r="CC119" s="164"/>
      <c r="CD119" s="162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</row>
    <row r="120" spans="1:104" ht="12.75">
      <c r="A120" s="239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414" t="str">
        <f t="shared" si="104"/>
        <v>S1</v>
      </c>
      <c r="AP120" s="415">
        <f t="shared" si="105"/>
        <v>0</v>
      </c>
      <c r="AQ120" s="415">
        <f t="shared" si="106"/>
        <v>-2.9222107251334037</v>
      </c>
      <c r="AR120" s="415">
        <f t="shared" si="107"/>
        <v>-4.1450003848347166</v>
      </c>
      <c r="AS120" s="416">
        <f t="shared" si="108"/>
        <v>0</v>
      </c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CA120" s="164"/>
      <c r="CB120" s="164"/>
      <c r="CC120" s="164"/>
      <c r="CD120" s="162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</row>
    <row r="121" spans="1:104" ht="12.75">
      <c r="A121" s="239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414" t="str">
        <f t="shared" si="104"/>
        <v>S2</v>
      </c>
      <c r="AP121" s="415">
        <f t="shared" si="105"/>
        <v>0</v>
      </c>
      <c r="AQ121" s="415">
        <f t="shared" si="106"/>
        <v>0</v>
      </c>
      <c r="AR121" s="415">
        <f t="shared" si="107"/>
        <v>0</v>
      </c>
      <c r="AS121" s="416">
        <f t="shared" si="108"/>
        <v>1.6993355688699836</v>
      </c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CA121" s="164"/>
      <c r="CB121" s="164"/>
      <c r="CC121" s="164"/>
      <c r="CD121" s="162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</row>
    <row r="122" spans="1:104" ht="12.75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414" t="str">
        <f t="shared" si="104"/>
        <v>S3</v>
      </c>
      <c r="AP122" s="415">
        <f t="shared" si="105"/>
        <v>0</v>
      </c>
      <c r="AQ122" s="415">
        <f t="shared" si="106"/>
        <v>-1.7676279387409508</v>
      </c>
      <c r="AR122" s="415">
        <f t="shared" si="107"/>
        <v>-2.391292252688018</v>
      </c>
      <c r="AS122" s="416">
        <f t="shared" si="108"/>
        <v>0</v>
      </c>
      <c r="AT122" s="239"/>
      <c r="AU122" s="239"/>
      <c r="AV122" s="239"/>
      <c r="AW122" s="239"/>
      <c r="AX122" s="239"/>
      <c r="AY122" s="239"/>
      <c r="AZ122" s="239"/>
      <c r="BA122" s="239"/>
      <c r="BB122" s="239"/>
      <c r="BC122" s="239"/>
      <c r="BD122" s="239"/>
      <c r="BE122" s="239"/>
      <c r="BF122" s="239"/>
      <c r="BG122" s="239"/>
      <c r="BH122" s="239"/>
      <c r="BI122" s="239"/>
      <c r="BJ122" s="239"/>
      <c r="BK122" s="239"/>
      <c r="BL122" s="239"/>
      <c r="BM122" s="239"/>
      <c r="BN122" s="239"/>
      <c r="CA122" s="164"/>
      <c r="CB122" s="164"/>
      <c r="CC122" s="164"/>
      <c r="CD122" s="162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</row>
    <row r="123" spans="1:104" ht="12.75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414" t="str">
        <f t="shared" si="104"/>
        <v>O1</v>
      </c>
      <c r="AP123" s="415">
        <f t="shared" si="105"/>
        <v>0</v>
      </c>
      <c r="AQ123" s="415">
        <f t="shared" si="106"/>
        <v>0</v>
      </c>
      <c r="AR123" s="415">
        <f t="shared" si="107"/>
        <v>0</v>
      </c>
      <c r="AS123" s="416">
        <f t="shared" si="108"/>
        <v>2.126856633356468</v>
      </c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CA123" s="164"/>
      <c r="CB123" s="164"/>
      <c r="CC123" s="164"/>
      <c r="CD123" s="162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</row>
    <row r="124" spans="1:104" ht="12.75">
      <c r="A124" s="239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414" t="str">
        <f t="shared" si="104"/>
        <v>O2</v>
      </c>
      <c r="AP124" s="415">
        <f t="shared" si="105"/>
        <v>0</v>
      </c>
      <c r="AQ124" s="415">
        <f t="shared" si="106"/>
        <v>0</v>
      </c>
      <c r="AR124" s="415">
        <f t="shared" si="107"/>
        <v>0</v>
      </c>
      <c r="AS124" s="416">
        <f t="shared" si="108"/>
        <v>5.508020765179822</v>
      </c>
      <c r="AT124" s="239"/>
      <c r="AU124" s="239"/>
      <c r="AV124" s="239"/>
      <c r="AW124" s="239"/>
      <c r="AX124" s="239"/>
      <c r="AY124" s="239"/>
      <c r="AZ124" s="239"/>
      <c r="BA124" s="239"/>
      <c r="BB124" s="239"/>
      <c r="BC124" s="239"/>
      <c r="BD124" s="239"/>
      <c r="BE124" s="239"/>
      <c r="BF124" s="239"/>
      <c r="BG124" s="239"/>
      <c r="BH124" s="239"/>
      <c r="BI124" s="239"/>
      <c r="BJ124" s="239"/>
      <c r="BK124" s="239"/>
      <c r="BL124" s="239"/>
      <c r="BM124" s="239"/>
      <c r="BN124" s="239"/>
      <c r="CA124" s="164"/>
      <c r="CB124" s="164"/>
      <c r="CC124" s="164"/>
      <c r="CD124" s="162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</row>
    <row r="125" spans="1:104" ht="12.75">
      <c r="A125" s="239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414" t="str">
        <f t="shared" si="104"/>
        <v>O3</v>
      </c>
      <c r="AP125" s="415">
        <f t="shared" si="105"/>
        <v>0</v>
      </c>
      <c r="AQ125" s="415">
        <f t="shared" si="106"/>
        <v>0</v>
      </c>
      <c r="AR125" s="415">
        <f t="shared" si="107"/>
        <v>0</v>
      </c>
      <c r="AS125" s="416">
        <f t="shared" si="108"/>
        <v>6.969600132279709</v>
      </c>
      <c r="AT125" s="239"/>
      <c r="AU125" s="239"/>
      <c r="AV125" s="239"/>
      <c r="AW125" s="239"/>
      <c r="AX125" s="239"/>
      <c r="AY125" s="239"/>
      <c r="AZ125" s="239"/>
      <c r="BA125" s="239"/>
      <c r="BB125" s="239"/>
      <c r="BC125" s="239"/>
      <c r="BD125" s="239"/>
      <c r="BE125" s="239"/>
      <c r="BF125" s="239"/>
      <c r="BG125" s="239"/>
      <c r="BH125" s="239"/>
      <c r="BI125" s="239"/>
      <c r="BJ125" s="239"/>
      <c r="BK125" s="239"/>
      <c r="BL125" s="239"/>
      <c r="BM125" s="239"/>
      <c r="BN125" s="239"/>
      <c r="CA125" s="164"/>
      <c r="CB125" s="164"/>
      <c r="CC125" s="164"/>
      <c r="CD125" s="162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</row>
    <row r="126" spans="1:104" ht="12.75">
      <c r="A126" s="239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414" t="str">
        <f t="shared" si="104"/>
        <v>N1</v>
      </c>
      <c r="AP126" s="415">
        <f t="shared" si="105"/>
        <v>0</v>
      </c>
      <c r="AQ126" s="415">
        <f t="shared" si="106"/>
        <v>-1.5010666703832811</v>
      </c>
      <c r="AR126" s="415">
        <f t="shared" si="107"/>
        <v>-2.957569410224835</v>
      </c>
      <c r="AS126" s="416">
        <f t="shared" si="108"/>
        <v>0</v>
      </c>
      <c r="AT126" s="239"/>
      <c r="AU126" s="239"/>
      <c r="AV126" s="239"/>
      <c r="AW126" s="239"/>
      <c r="AX126" s="239"/>
      <c r="AY126" s="239"/>
      <c r="AZ126" s="239"/>
      <c r="BA126" s="239"/>
      <c r="BB126" s="239"/>
      <c r="BC126" s="239"/>
      <c r="BD126" s="239"/>
      <c r="BE126" s="239"/>
      <c r="BF126" s="239"/>
      <c r="BG126" s="239"/>
      <c r="BH126" s="239"/>
      <c r="BI126" s="239"/>
      <c r="BJ126" s="239"/>
      <c r="BK126" s="239"/>
      <c r="BL126" s="239"/>
      <c r="BM126" s="239"/>
      <c r="BN126" s="239"/>
      <c r="CA126" s="164"/>
      <c r="CB126" s="164"/>
      <c r="CC126" s="164"/>
      <c r="CD126" s="162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</row>
    <row r="127" spans="1:104" ht="12.75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414" t="str">
        <f t="shared" si="104"/>
        <v>N2</v>
      </c>
      <c r="AP127" s="415">
        <f t="shared" si="105"/>
        <v>0</v>
      </c>
      <c r="AQ127" s="415">
        <f t="shared" si="106"/>
        <v>0</v>
      </c>
      <c r="AR127" s="415">
        <f t="shared" si="107"/>
        <v>0</v>
      </c>
      <c r="AS127" s="416">
        <f t="shared" si="108"/>
        <v>9.62915687245362</v>
      </c>
      <c r="AT127" s="239"/>
      <c r="AU127" s="239"/>
      <c r="AV127" s="239"/>
      <c r="AW127" s="239"/>
      <c r="AX127" s="239"/>
      <c r="AY127" s="239"/>
      <c r="AZ127" s="239"/>
      <c r="BA127" s="239"/>
      <c r="BB127" s="239"/>
      <c r="BC127" s="239"/>
      <c r="BD127" s="239"/>
      <c r="BE127" s="239"/>
      <c r="BF127" s="239"/>
      <c r="BG127" s="239"/>
      <c r="BH127" s="239"/>
      <c r="BI127" s="239"/>
      <c r="BJ127" s="239"/>
      <c r="BK127" s="239"/>
      <c r="BL127" s="239"/>
      <c r="BM127" s="239"/>
      <c r="BN127" s="239"/>
      <c r="CA127" s="164"/>
      <c r="CB127" s="164"/>
      <c r="CC127" s="164"/>
      <c r="CD127" s="162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</row>
    <row r="128" spans="1:104" ht="12.75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414" t="str">
        <f t="shared" si="104"/>
        <v>N3</v>
      </c>
      <c r="AP128" s="415">
        <f t="shared" si="105"/>
        <v>0</v>
      </c>
      <c r="AQ128" s="415">
        <f t="shared" si="106"/>
        <v>0</v>
      </c>
      <c r="AR128" s="415">
        <f t="shared" si="107"/>
        <v>0</v>
      </c>
      <c r="AS128" s="416">
        <f t="shared" si="108"/>
        <v>18.411722624290334</v>
      </c>
      <c r="AT128" s="239"/>
      <c r="AU128" s="239"/>
      <c r="AV128" s="239"/>
      <c r="AW128" s="239"/>
      <c r="AX128" s="239"/>
      <c r="AY128" s="239"/>
      <c r="AZ128" s="239"/>
      <c r="BA128" s="239"/>
      <c r="BB128" s="239"/>
      <c r="BC128" s="239"/>
      <c r="BD128" s="239"/>
      <c r="BE128" s="239"/>
      <c r="BF128" s="239"/>
      <c r="BG128" s="239"/>
      <c r="BH128" s="239"/>
      <c r="BI128" s="239"/>
      <c r="BJ128" s="239"/>
      <c r="BK128" s="239"/>
      <c r="BL128" s="239"/>
      <c r="BM128" s="239"/>
      <c r="BN128" s="239"/>
      <c r="CA128" s="164"/>
      <c r="CB128" s="164"/>
      <c r="CC128" s="164"/>
      <c r="CD128" s="162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</row>
    <row r="129" spans="1:104" ht="12.75">
      <c r="A129" s="239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414" t="str">
        <f t="shared" si="104"/>
        <v>D1</v>
      </c>
      <c r="AP129" s="415">
        <f t="shared" si="105"/>
        <v>0</v>
      </c>
      <c r="AQ129" s="415">
        <f t="shared" si="106"/>
        <v>0</v>
      </c>
      <c r="AR129" s="415">
        <f t="shared" si="107"/>
        <v>0</v>
      </c>
      <c r="AS129" s="416">
        <f t="shared" si="108"/>
        <v>12.744430759087763</v>
      </c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  <c r="BF129" s="239"/>
      <c r="BG129" s="239"/>
      <c r="BH129" s="239"/>
      <c r="BI129" s="239"/>
      <c r="BJ129" s="239"/>
      <c r="BK129" s="239"/>
      <c r="BL129" s="239"/>
      <c r="BM129" s="239"/>
      <c r="BN129" s="239"/>
      <c r="CA129" s="164"/>
      <c r="CB129" s="164"/>
      <c r="CC129" s="164"/>
      <c r="CD129" s="162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</row>
    <row r="130" spans="1:104" ht="12.75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414" t="str">
        <f t="shared" si="104"/>
        <v>D2</v>
      </c>
      <c r="AP130" s="415">
        <f t="shared" si="105"/>
        <v>12.746702054899522</v>
      </c>
      <c r="AQ130" s="415">
        <f t="shared" si="106"/>
        <v>0</v>
      </c>
      <c r="AR130" s="415">
        <f t="shared" si="107"/>
        <v>0</v>
      </c>
      <c r="AS130" s="416">
        <f t="shared" si="108"/>
        <v>6.1351082595757305</v>
      </c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239"/>
      <c r="BD130" s="239"/>
      <c r="BE130" s="239"/>
      <c r="BF130" s="239"/>
      <c r="BG130" s="239"/>
      <c r="BH130" s="239"/>
      <c r="BI130" s="239"/>
      <c r="BJ130" s="239"/>
      <c r="BK130" s="239"/>
      <c r="BL130" s="239"/>
      <c r="BM130" s="239"/>
      <c r="BN130" s="239"/>
      <c r="CA130" s="164"/>
      <c r="CB130" s="164"/>
      <c r="CC130" s="164"/>
      <c r="CD130" s="162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</row>
    <row r="131" spans="1:104" ht="12.75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414" t="str">
        <f t="shared" si="104"/>
        <v>D3</v>
      </c>
      <c r="AP131" s="415">
        <f t="shared" si="105"/>
        <v>46.41877403778321</v>
      </c>
      <c r="AQ131" s="415">
        <f t="shared" si="106"/>
        <v>0</v>
      </c>
      <c r="AR131" s="415">
        <f t="shared" si="107"/>
        <v>0</v>
      </c>
      <c r="AS131" s="416">
        <f t="shared" si="108"/>
        <v>0</v>
      </c>
      <c r="AT131" s="239"/>
      <c r="AU131" s="239"/>
      <c r="AV131" s="239"/>
      <c r="AW131" s="239"/>
      <c r="AX131" s="239"/>
      <c r="AY131" s="239"/>
      <c r="AZ131" s="239"/>
      <c r="BA131" s="239"/>
      <c r="BB131" s="239"/>
      <c r="BC131" s="239"/>
      <c r="BD131" s="239"/>
      <c r="BE131" s="239"/>
      <c r="BF131" s="239"/>
      <c r="BG131" s="239"/>
      <c r="BH131" s="239"/>
      <c r="BI131" s="239"/>
      <c r="BJ131" s="239"/>
      <c r="BK131" s="239"/>
      <c r="BL131" s="239"/>
      <c r="BM131" s="239"/>
      <c r="BN131" s="239"/>
      <c r="CA131" s="164"/>
      <c r="CB131" s="164"/>
      <c r="CC131" s="164"/>
      <c r="CD131" s="162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</row>
    <row r="132" spans="1:104" ht="12.75">
      <c r="A132" s="239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414">
        <f t="shared" si="104"/>
        <v>1</v>
      </c>
      <c r="AP132" s="415">
        <f t="shared" si="105"/>
        <v>0</v>
      </c>
      <c r="AQ132" s="415">
        <f t="shared" si="106"/>
        <v>-1.4117547872914693E-08</v>
      </c>
      <c r="AR132" s="415">
        <f t="shared" si="107"/>
        <v>-0.0019523569647503791</v>
      </c>
      <c r="AS132" s="416">
        <f t="shared" si="108"/>
        <v>0</v>
      </c>
      <c r="AT132" s="239"/>
      <c r="AU132" s="239"/>
      <c r="AV132" s="239"/>
      <c r="AW132" s="23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CA132" s="164"/>
      <c r="CB132" s="164"/>
      <c r="CC132" s="164"/>
      <c r="CD132" s="162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</row>
    <row r="133" spans="1:104" ht="12.75">
      <c r="A133" s="239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414">
        <f t="shared" si="104"/>
        <v>1</v>
      </c>
      <c r="AP133" s="415">
        <f t="shared" si="105"/>
        <v>0</v>
      </c>
      <c r="AQ133" s="415">
        <f t="shared" si="106"/>
        <v>-4.234295282977418E-08</v>
      </c>
      <c r="AR133" s="415">
        <f t="shared" si="107"/>
        <v>-0.001952004911856875</v>
      </c>
      <c r="AS133" s="416">
        <f t="shared" si="108"/>
        <v>0</v>
      </c>
      <c r="AT133" s="239"/>
      <c r="AU133" s="239"/>
      <c r="AV133" s="239"/>
      <c r="AW133" s="239"/>
      <c r="AX133" s="239"/>
      <c r="AY133" s="239"/>
      <c r="AZ133" s="239"/>
      <c r="BA133" s="239"/>
      <c r="BB133" s="239"/>
      <c r="BC133" s="239"/>
      <c r="BD133" s="239"/>
      <c r="BE133" s="239"/>
      <c r="BF133" s="239"/>
      <c r="BG133" s="239"/>
      <c r="BH133" s="239"/>
      <c r="BI133" s="239"/>
      <c r="BJ133" s="239"/>
      <c r="BK133" s="239"/>
      <c r="BL133" s="239"/>
      <c r="BM133" s="239"/>
      <c r="BN133" s="239"/>
      <c r="CA133" s="164"/>
      <c r="CB133" s="164"/>
      <c r="CC133" s="164"/>
      <c r="CD133" s="162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</row>
    <row r="134" spans="1:104" ht="12.75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414">
        <f t="shared" si="104"/>
        <v>1</v>
      </c>
      <c r="AP134" s="415">
        <f t="shared" si="105"/>
        <v>0</v>
      </c>
      <c r="AQ134" s="415">
        <f t="shared" si="106"/>
        <v>-7.055100219571092E-08</v>
      </c>
      <c r="AR134" s="415">
        <f t="shared" si="107"/>
        <v>-0.0019515851436153753</v>
      </c>
      <c r="AS134" s="416">
        <f t="shared" si="108"/>
        <v>0</v>
      </c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L134" s="239"/>
      <c r="BM134" s="239"/>
      <c r="BN134" s="239"/>
      <c r="CA134" s="164"/>
      <c r="CB134" s="164"/>
      <c r="CC134" s="164"/>
      <c r="CD134" s="162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</row>
    <row r="135" spans="1:104" ht="12.75">
      <c r="A135" s="239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414">
        <f t="shared" si="104"/>
        <v>1</v>
      </c>
      <c r="AP135" s="415">
        <f t="shared" si="105"/>
        <v>0</v>
      </c>
      <c r="AQ135" s="415">
        <f t="shared" si="106"/>
        <v>-9.873775344408121E-08</v>
      </c>
      <c r="AR135" s="415">
        <f t="shared" si="107"/>
        <v>-0.0019510979147128182</v>
      </c>
      <c r="AS135" s="416">
        <f t="shared" si="108"/>
        <v>0</v>
      </c>
      <c r="AT135" s="239"/>
      <c r="AU135" s="239"/>
      <c r="AV135" s="239"/>
      <c r="AW135" s="239"/>
      <c r="AX135" s="239"/>
      <c r="AY135" s="239"/>
      <c r="AZ135" s="239"/>
      <c r="BA135" s="239"/>
      <c r="BB135" s="239"/>
      <c r="BC135" s="239"/>
      <c r="BD135" s="239"/>
      <c r="BE135" s="239"/>
      <c r="BF135" s="239"/>
      <c r="BG135" s="239"/>
      <c r="BH135" s="239"/>
      <c r="BI135" s="239"/>
      <c r="BJ135" s="239"/>
      <c r="BK135" s="239"/>
      <c r="BL135" s="239"/>
      <c r="BM135" s="239"/>
      <c r="BN135" s="239"/>
      <c r="CA135" s="164"/>
      <c r="CB135" s="164"/>
      <c r="CC135" s="164"/>
      <c r="CD135" s="162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</row>
    <row r="136" spans="1:104" ht="12.75">
      <c r="A136" s="239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414">
        <f t="shared" si="104"/>
        <v>1</v>
      </c>
      <c r="AP136" s="415">
        <f t="shared" si="105"/>
        <v>0</v>
      </c>
      <c r="AQ136" s="415">
        <f t="shared" si="106"/>
        <v>-1.2689933252146325E-07</v>
      </c>
      <c r="AR136" s="415">
        <f t="shared" si="107"/>
        <v>-0.0019505435220423806</v>
      </c>
      <c r="AS136" s="416">
        <f t="shared" si="108"/>
        <v>0</v>
      </c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CA136" s="164"/>
      <c r="CB136" s="164"/>
      <c r="CC136" s="164"/>
      <c r="CD136" s="162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</row>
    <row r="137" spans="1:104" ht="12.75">
      <c r="A137" s="239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414">
        <f t="shared" si="104"/>
        <v>1</v>
      </c>
      <c r="AP137" s="415">
        <f t="shared" si="105"/>
        <v>0</v>
      </c>
      <c r="AQ137" s="415">
        <f t="shared" si="106"/>
        <v>-1.550319014163512E-07</v>
      </c>
      <c r="AR137" s="415">
        <f t="shared" si="107"/>
        <v>-0.0019499223041066216</v>
      </c>
      <c r="AS137" s="416">
        <f t="shared" si="108"/>
        <v>0</v>
      </c>
      <c r="AT137" s="239"/>
      <c r="AU137" s="239"/>
      <c r="AV137" s="239"/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  <c r="BJ137" s="239"/>
      <c r="BK137" s="239"/>
      <c r="BL137" s="239"/>
      <c r="BM137" s="239"/>
      <c r="BN137" s="239"/>
      <c r="CA137" s="164"/>
      <c r="CB137" s="164"/>
      <c r="CC137" s="164"/>
      <c r="CD137" s="162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</row>
    <row r="138" spans="1:104" ht="12.75">
      <c r="A138" s="239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414">
        <f t="shared" si="104"/>
        <v>1</v>
      </c>
      <c r="AP138" s="415">
        <f t="shared" si="105"/>
        <v>0</v>
      </c>
      <c r="AQ138" s="415">
        <f t="shared" si="106"/>
        <v>-1.8313162546785763E-07</v>
      </c>
      <c r="AR138" s="415">
        <f t="shared" si="107"/>
        <v>-0.0019492346403353622</v>
      </c>
      <c r="AS138" s="416">
        <f t="shared" si="108"/>
        <v>0</v>
      </c>
      <c r="AT138" s="239"/>
      <c r="AU138" s="239"/>
      <c r="AV138" s="239"/>
      <c r="AW138" s="239"/>
      <c r="AX138" s="239"/>
      <c r="AY138" s="239"/>
      <c r="AZ138" s="239"/>
      <c r="BA138" s="239"/>
      <c r="BB138" s="239"/>
      <c r="BC138" s="239"/>
      <c r="BD138" s="239"/>
      <c r="BE138" s="239"/>
      <c r="BF138" s="239"/>
      <c r="BG138" s="239"/>
      <c r="BH138" s="239"/>
      <c r="BI138" s="239"/>
      <c r="BJ138" s="239"/>
      <c r="BK138" s="239"/>
      <c r="BL138" s="239"/>
      <c r="BM138" s="239"/>
      <c r="BN138" s="239"/>
      <c r="CA138" s="164"/>
      <c r="CB138" s="164"/>
      <c r="CC138" s="164"/>
      <c r="CD138" s="162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</row>
    <row r="139" spans="1:104" ht="12.75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414">
        <f t="shared" si="104"/>
        <v>1</v>
      </c>
      <c r="AP139" s="415">
        <f t="shared" si="105"/>
        <v>0</v>
      </c>
      <c r="AQ139" s="415">
        <f t="shared" si="106"/>
        <v>-2.1119475719275603E-07</v>
      </c>
      <c r="AR139" s="415">
        <f t="shared" si="107"/>
        <v>-0.0019484809502046119</v>
      </c>
      <c r="AS139" s="416">
        <f t="shared" si="108"/>
        <v>0</v>
      </c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39"/>
      <c r="BG139" s="239"/>
      <c r="BH139" s="239"/>
      <c r="BI139" s="239"/>
      <c r="BJ139" s="239"/>
      <c r="BK139" s="239"/>
      <c r="BL139" s="239"/>
      <c r="BM139" s="239"/>
      <c r="BN139" s="239"/>
      <c r="CA139" s="164"/>
      <c r="CB139" s="164"/>
      <c r="CC139" s="164"/>
      <c r="CD139" s="162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</row>
    <row r="140" spans="1:104" ht="12.75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414">
        <f t="shared" si="104"/>
        <v>1</v>
      </c>
      <c r="AP140" s="415">
        <f t="shared" si="105"/>
        <v>0</v>
      </c>
      <c r="AQ140" s="415">
        <f t="shared" si="106"/>
        <v>-2.3921752739276825E-07</v>
      </c>
      <c r="AR140" s="415">
        <f t="shared" si="107"/>
        <v>-0.0019476616924691825</v>
      </c>
      <c r="AS140" s="416">
        <f t="shared" si="108"/>
        <v>0</v>
      </c>
      <c r="AT140" s="239"/>
      <c r="AU140" s="239"/>
      <c r="AV140" s="239"/>
      <c r="AW140" s="239"/>
      <c r="AX140" s="239"/>
      <c r="AY140" s="239"/>
      <c r="AZ140" s="239"/>
      <c r="BA140" s="239"/>
      <c r="BB140" s="239"/>
      <c r="BC140" s="239"/>
      <c r="BD140" s="239"/>
      <c r="BE140" s="239"/>
      <c r="BF140" s="239"/>
      <c r="BG140" s="239"/>
      <c r="BH140" s="239"/>
      <c r="BI140" s="239"/>
      <c r="BJ140" s="239"/>
      <c r="BK140" s="239"/>
      <c r="BL140" s="239"/>
      <c r="BM140" s="239"/>
      <c r="BN140" s="239"/>
      <c r="CA140" s="164"/>
      <c r="CB140" s="164"/>
      <c r="CC140" s="164"/>
      <c r="CD140" s="162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</row>
    <row r="141" spans="1:104" ht="12.75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414">
        <f t="shared" si="104"/>
        <v>1</v>
      </c>
      <c r="AP141" s="415">
        <f t="shared" si="105"/>
        <v>0</v>
      </c>
      <c r="AQ141" s="415">
        <f t="shared" si="106"/>
        <v>-2.6719621674985497E-07</v>
      </c>
      <c r="AR141" s="415">
        <f t="shared" si="107"/>
        <v>-0.001946777364139507</v>
      </c>
      <c r="AS141" s="416">
        <f t="shared" si="108"/>
        <v>0</v>
      </c>
      <c r="AT141" s="239"/>
      <c r="AU141" s="239"/>
      <c r="AV141" s="239"/>
      <c r="AW141" s="239"/>
      <c r="AX141" s="239"/>
      <c r="AY141" s="239"/>
      <c r="AZ141" s="239"/>
      <c r="BA141" s="239"/>
      <c r="BB141" s="239"/>
      <c r="BC141" s="239"/>
      <c r="BD141" s="239"/>
      <c r="BE141" s="239"/>
      <c r="BF141" s="239"/>
      <c r="BG141" s="239"/>
      <c r="BH141" s="239"/>
      <c r="BI141" s="239"/>
      <c r="BJ141" s="239"/>
      <c r="BK141" s="239"/>
      <c r="BL141" s="239"/>
      <c r="BM141" s="239"/>
      <c r="BN141" s="239"/>
      <c r="CA141" s="164"/>
      <c r="CB141" s="164"/>
      <c r="CC141" s="164"/>
      <c r="CD141" s="162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</row>
    <row r="142" spans="1:104" ht="12.75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414">
        <f>B65</f>
        <v>1</v>
      </c>
      <c r="AP142" s="415">
        <f t="shared" si="105"/>
        <v>0</v>
      </c>
      <c r="AQ142" s="415">
        <f t="shared" si="106"/>
        <v>-2.951272413777902E-07</v>
      </c>
      <c r="AR142" s="415">
        <f t="shared" si="107"/>
        <v>-0.0019458284993731922</v>
      </c>
      <c r="AS142" s="416">
        <f t="shared" si="108"/>
        <v>0</v>
      </c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/>
      <c r="CA142" s="164"/>
      <c r="CB142" s="164"/>
      <c r="CC142" s="164"/>
      <c r="CD142" s="162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</row>
    <row r="143" spans="1:104" ht="12.75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414">
        <f t="shared" si="104"/>
        <v>1</v>
      </c>
      <c r="AP143" s="415">
        <f t="shared" si="105"/>
        <v>0</v>
      </c>
      <c r="AQ143" s="415">
        <f t="shared" si="106"/>
        <v>-3.230069155263013E-07</v>
      </c>
      <c r="AR143" s="415">
        <f t="shared" si="107"/>
        <v>-0.0019448156686223683</v>
      </c>
      <c r="AS143" s="416">
        <f t="shared" si="108"/>
        <v>0</v>
      </c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CA143" s="164"/>
      <c r="CB143" s="164"/>
      <c r="CC143" s="164"/>
      <c r="CD143" s="162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</row>
    <row r="144" spans="1:104" ht="12.75">
      <c r="A144" s="239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414">
        <f t="shared" si="104"/>
        <v>1</v>
      </c>
      <c r="AP144" s="415">
        <f t="shared" si="105"/>
        <v>0</v>
      </c>
      <c r="AQ144" s="415">
        <f t="shared" si="106"/>
        <v>-3.5083169173423523E-07</v>
      </c>
      <c r="AR144" s="415">
        <f t="shared" si="107"/>
        <v>-0.0019437394772410244</v>
      </c>
      <c r="AS144" s="416">
        <f t="shared" si="108"/>
        <v>0</v>
      </c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CA144" s="164"/>
      <c r="CB144" s="164"/>
      <c r="CC144" s="164"/>
      <c r="CD144" s="162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</row>
    <row r="145" spans="1:104" ht="12.75">
      <c r="A145" s="239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414">
        <f t="shared" si="104"/>
        <v>1</v>
      </c>
      <c r="AP145" s="415">
        <f t="shared" si="105"/>
        <v>0</v>
      </c>
      <c r="AQ145" s="415">
        <f t="shared" si="106"/>
        <v>-3.7859817256713155E-07</v>
      </c>
      <c r="AR145" s="415">
        <f t="shared" si="107"/>
        <v>-0.0019426005642628752</v>
      </c>
      <c r="AS145" s="416">
        <f t="shared" si="108"/>
        <v>0</v>
      </c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CA145" s="164"/>
      <c r="CB145" s="164"/>
      <c r="CC145" s="164"/>
      <c r="CD145" s="162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</row>
    <row r="146" spans="1:104" ht="12.75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414">
        <f t="shared" si="104"/>
        <v>1</v>
      </c>
      <c r="AP146" s="415">
        <f t="shared" si="105"/>
        <v>0</v>
      </c>
      <c r="AQ146" s="415">
        <f t="shared" si="106"/>
        <v>-4.0630275669199974E-07</v>
      </c>
      <c r="AR146" s="415">
        <f t="shared" si="107"/>
        <v>-0.0019413996014918666</v>
      </c>
      <c r="AS146" s="416">
        <f t="shared" si="108"/>
        <v>0</v>
      </c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CA146" s="164"/>
      <c r="CB146" s="164"/>
      <c r="CC146" s="164"/>
      <c r="CD146" s="162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</row>
    <row r="147" spans="1:104" ht="12.75">
      <c r="A147" s="239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414">
        <f t="shared" si="104"/>
        <v>1</v>
      </c>
      <c r="AP147" s="415">
        <f t="shared" si="105"/>
        <v>0</v>
      </c>
      <c r="AQ147" s="415">
        <f t="shared" si="106"/>
        <v>-4.339422032598444E-07</v>
      </c>
      <c r="AR147" s="415">
        <f t="shared" si="107"/>
        <v>-0.0019401372916263426</v>
      </c>
      <c r="AS147" s="416">
        <f t="shared" si="108"/>
        <v>0</v>
      </c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CA147" s="164"/>
      <c r="CB147" s="164"/>
      <c r="CC147" s="164"/>
      <c r="CD147" s="162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</row>
    <row r="148" spans="1:104" ht="12.75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414">
        <f t="shared" si="104"/>
        <v>1</v>
      </c>
      <c r="AP148" s="415">
        <f t="shared" si="105"/>
        <v>0</v>
      </c>
      <c r="AQ148" s="415">
        <f t="shared" si="106"/>
        <v>-4.615131301843878E-07</v>
      </c>
      <c r="AR148" s="415">
        <f t="shared" si="107"/>
        <v>-0.001938814367406394</v>
      </c>
      <c r="AS148" s="416">
        <f t="shared" si="108"/>
        <v>0</v>
      </c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CA148" s="164"/>
      <c r="CB148" s="164"/>
      <c r="CC148" s="164"/>
      <c r="CD148" s="162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</row>
    <row r="149" spans="1:104" ht="12.75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414">
        <f t="shared" si="104"/>
        <v>1</v>
      </c>
      <c r="AP149" s="415">
        <f t="shared" si="105"/>
        <v>0</v>
      </c>
      <c r="AQ149" s="415">
        <f t="shared" si="106"/>
        <v>-4.890122989062527E-07</v>
      </c>
      <c r="AR149" s="415">
        <f t="shared" si="107"/>
        <v>-0.0019374315899369776</v>
      </c>
      <c r="AS149" s="416">
        <f t="shared" si="108"/>
        <v>0</v>
      </c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CA149" s="164"/>
      <c r="CB149" s="164"/>
      <c r="CC149" s="164"/>
      <c r="CD149" s="162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</row>
    <row r="150" spans="1:104" ht="12.75">
      <c r="A150" s="239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414">
        <f t="shared" si="104"/>
        <v>1</v>
      </c>
      <c r="AP150" s="415">
        <f t="shared" si="105"/>
        <v>0</v>
      </c>
      <c r="AQ150" s="415">
        <f t="shared" si="106"/>
        <v>-5.164364971826842E-07</v>
      </c>
      <c r="AR150" s="415">
        <f t="shared" si="107"/>
        <v>-0.0019359897473805177</v>
      </c>
      <c r="AS150" s="416">
        <f t="shared" si="108"/>
        <v>0</v>
      </c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CA150" s="164"/>
      <c r="CB150" s="164"/>
      <c r="CC150" s="164"/>
      <c r="CD150" s="162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</row>
    <row r="151" spans="1:104" ht="12.75">
      <c r="A151" s="239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414">
        <f t="shared" si="104"/>
        <v>1</v>
      </c>
      <c r="AP151" s="415">
        <f t="shared" si="105"/>
        <v>0</v>
      </c>
      <c r="AQ151" s="415">
        <f t="shared" si="106"/>
        <v>-5.437826504223198E-07</v>
      </c>
      <c r="AR151" s="415">
        <f t="shared" si="107"/>
        <v>-0.0019344896533937117</v>
      </c>
      <c r="AS151" s="416">
        <f t="shared" si="108"/>
        <v>0</v>
      </c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CA151" s="164"/>
      <c r="CB151" s="164"/>
      <c r="CC151" s="164"/>
      <c r="CD151" s="162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</row>
    <row r="152" spans="1:104" ht="12.75">
      <c r="A152" s="239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414">
        <f t="shared" si="104"/>
        <v>1</v>
      </c>
      <c r="AP152" s="415">
        <f t="shared" si="105"/>
        <v>0</v>
      </c>
      <c r="AQ152" s="415">
        <f t="shared" si="106"/>
        <v>-5.710477120782036E-07</v>
      </c>
      <c r="AR152" s="415">
        <f t="shared" si="107"/>
        <v>-0.0019329321457632886</v>
      </c>
      <c r="AS152" s="416">
        <f t="shared" si="108"/>
        <v>0</v>
      </c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CA152" s="164"/>
      <c r="CB152" s="164"/>
      <c r="CC152" s="164"/>
      <c r="CD152" s="162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</row>
    <row r="153" spans="1:104" ht="12.75">
      <c r="A153" s="239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414">
        <f t="shared" si="104"/>
        <v>1</v>
      </c>
      <c r="AP153" s="415">
        <f t="shared" si="105"/>
        <v>0</v>
      </c>
      <c r="AQ153" s="415">
        <f t="shared" si="106"/>
        <v>-5.982286793760911E-07</v>
      </c>
      <c r="AR153" s="415">
        <f t="shared" si="107"/>
        <v>-0.001931318084899658</v>
      </c>
      <c r="AS153" s="416">
        <f t="shared" si="108"/>
        <v>0</v>
      </c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CA153" s="164"/>
      <c r="CB153" s="164"/>
      <c r="CC153" s="164"/>
      <c r="CD153" s="162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</row>
    <row r="154" spans="1:104" ht="12.75">
      <c r="A154" s="239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414">
        <f t="shared" si="104"/>
        <v>1</v>
      </c>
      <c r="AP154" s="415">
        <f t="shared" si="105"/>
        <v>0</v>
      </c>
      <c r="AQ154" s="415">
        <f t="shared" si="106"/>
        <v>-6.253227395262677E-07</v>
      </c>
      <c r="AR154" s="415">
        <f t="shared" si="107"/>
        <v>-0.001929648352188451</v>
      </c>
      <c r="AS154" s="416">
        <f t="shared" si="108"/>
        <v>0</v>
      </c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CA154" s="164"/>
      <c r="CB154" s="164"/>
      <c r="CC154" s="164"/>
      <c r="CD154" s="162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</row>
    <row r="155" spans="1:104" ht="12.75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414">
        <f t="shared" si="104"/>
        <v>1</v>
      </c>
      <c r="AP155" s="415">
        <f t="shared" si="105"/>
        <v>0</v>
      </c>
      <c r="AQ155" s="415">
        <f t="shared" si="106"/>
        <v>-6.523269546381341E-07</v>
      </c>
      <c r="AR155" s="415">
        <f t="shared" si="107"/>
        <v>-0.0019279238487968087</v>
      </c>
      <c r="AS155" s="416">
        <f t="shared" si="108"/>
        <v>0</v>
      </c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CA155" s="164"/>
      <c r="CB155" s="164"/>
      <c r="CC155" s="164"/>
      <c r="CD155" s="162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</row>
    <row r="156" spans="1:104" ht="12.75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414">
        <f t="shared" si="104"/>
        <v>1</v>
      </c>
      <c r="AP156" s="415">
        <f t="shared" si="105"/>
        <v>0</v>
      </c>
      <c r="AQ156" s="415">
        <f t="shared" si="106"/>
        <v>-6.792386840082792E-07</v>
      </c>
      <c r="AR156" s="415">
        <f t="shared" si="107"/>
        <v>-0.0019261454937407052</v>
      </c>
      <c r="AS156" s="416">
        <f t="shared" si="108"/>
        <v>0</v>
      </c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CA156" s="164"/>
      <c r="CB156" s="164"/>
      <c r="CC156" s="164"/>
      <c r="CD156" s="162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</row>
    <row r="157" spans="1:104" ht="12.75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414">
        <f t="shared" si="104"/>
        <v>1</v>
      </c>
      <c r="AP157" s="415">
        <f t="shared" si="105"/>
        <v>0</v>
      </c>
      <c r="AQ157" s="415">
        <f t="shared" si="106"/>
        <v>-7.060552138298763E-07</v>
      </c>
      <c r="AR157" s="415">
        <f t="shared" si="107"/>
        <v>-0.0019243142227480803</v>
      </c>
      <c r="AS157" s="416">
        <f t="shared" si="108"/>
        <v>0</v>
      </c>
      <c r="AT157" s="239"/>
      <c r="AU157" s="239"/>
      <c r="AV157" s="239"/>
      <c r="AW157" s="239"/>
      <c r="AX157" s="239"/>
      <c r="AY157" s="239"/>
      <c r="AZ157" s="239"/>
      <c r="BA157" s="239"/>
      <c r="BB157" s="239"/>
      <c r="BC157" s="239"/>
      <c r="BD157" s="239"/>
      <c r="BE157" s="239"/>
      <c r="BF157" s="239"/>
      <c r="BG157" s="239"/>
      <c r="BH157" s="239"/>
      <c r="BI157" s="239"/>
      <c r="BJ157" s="239"/>
      <c r="BK157" s="239"/>
      <c r="BL157" s="239"/>
      <c r="BM157" s="239"/>
      <c r="BN157" s="239"/>
      <c r="CA157" s="164"/>
      <c r="CB157" s="164"/>
      <c r="CC157" s="164"/>
      <c r="CD157" s="162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</row>
    <row r="158" spans="1:104" ht="12.75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414">
        <f t="shared" si="104"/>
        <v>1</v>
      </c>
      <c r="AP158" s="415">
        <f t="shared" si="105"/>
        <v>0</v>
      </c>
      <c r="AQ158" s="415">
        <f t="shared" si="106"/>
        <v>-7.327739916733033E-07</v>
      </c>
      <c r="AR158" s="415">
        <f t="shared" si="107"/>
        <v>-0.0019224309865251143</v>
      </c>
      <c r="AS158" s="416">
        <f t="shared" si="108"/>
        <v>0</v>
      </c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39"/>
      <c r="BD158" s="239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CA158" s="164"/>
      <c r="CB158" s="164"/>
      <c r="CC158" s="164"/>
      <c r="CD158" s="162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</row>
    <row r="159" spans="1:104" ht="12.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414">
        <f t="shared" si="104"/>
        <v>1</v>
      </c>
      <c r="AP159" s="415">
        <f t="shared" si="105"/>
        <v>0</v>
      </c>
      <c r="AQ159" s="415">
        <f t="shared" si="106"/>
        <v>-7.593925038997407E-07</v>
      </c>
      <c r="AR159" s="415">
        <f t="shared" si="107"/>
        <v>-0.0019204967493919867</v>
      </c>
      <c r="AS159" s="416">
        <f t="shared" si="108"/>
        <v>0</v>
      </c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39"/>
      <c r="BD159" s="239"/>
      <c r="BE159" s="239"/>
      <c r="BF159" s="239"/>
      <c r="BG159" s="239"/>
      <c r="BH159" s="239"/>
      <c r="BI159" s="239"/>
      <c r="BJ159" s="239"/>
      <c r="BK159" s="239"/>
      <c r="BL159" s="239"/>
      <c r="BM159" s="239"/>
      <c r="BN159" s="239"/>
      <c r="CA159" s="164"/>
      <c r="CB159" s="164"/>
      <c r="CC159" s="164"/>
      <c r="CD159" s="162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</row>
    <row r="160" spans="1:104" ht="12.75">
      <c r="A160" s="239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414">
        <f>B83</f>
        <v>1</v>
      </c>
      <c r="AP160" s="415">
        <f t="shared" si="105"/>
        <v>0</v>
      </c>
      <c r="AQ160" s="415">
        <f t="shared" si="106"/>
        <v>-7.859083403355654E-07</v>
      </c>
      <c r="AR160" s="415">
        <f t="shared" si="107"/>
        <v>-0.001918512487748103</v>
      </c>
      <c r="AS160" s="416">
        <f t="shared" si="108"/>
        <v>0</v>
      </c>
      <c r="AT160" s="239"/>
      <c r="AU160" s="239"/>
      <c r="AV160" s="239"/>
      <c r="AW160" s="239"/>
      <c r="AX160" s="239"/>
      <c r="AY160" s="239"/>
      <c r="AZ160" s="239"/>
      <c r="BA160" s="239"/>
      <c r="BB160" s="239"/>
      <c r="BC160" s="239"/>
      <c r="BD160" s="239"/>
      <c r="BE160" s="239"/>
      <c r="BF160" s="239"/>
      <c r="BG160" s="239"/>
      <c r="BH160" s="239"/>
      <c r="BI160" s="239"/>
      <c r="BJ160" s="239"/>
      <c r="BK160" s="239"/>
      <c r="BL160" s="239"/>
      <c r="BM160" s="239"/>
      <c r="BN160" s="239"/>
      <c r="CA160" s="164"/>
      <c r="CB160" s="164"/>
      <c r="CC160" s="164"/>
      <c r="CD160" s="162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4"/>
      <c r="CY160" s="164"/>
      <c r="CZ160" s="164"/>
    </row>
    <row r="161" spans="1:104" ht="12.75">
      <c r="A161" s="239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414">
        <f t="shared" si="104"/>
        <v>1</v>
      </c>
      <c r="AP161" s="415">
        <f aca="true" t="shared" si="109" ref="AP161:AP168">O84</f>
        <v>0</v>
      </c>
      <c r="AQ161" s="415">
        <f aca="true" t="shared" si="110" ref="AQ161:AQ168">-N84</f>
        <v>-8.123191661167043E-07</v>
      </c>
      <c r="AR161" s="415">
        <f aca="true" t="shared" si="111" ref="AR161:AR168">IF(L84&lt;0,L84,0)</f>
        <v>-0.0019164791886510102</v>
      </c>
      <c r="AS161" s="416">
        <f aca="true" t="shared" si="112" ref="AS161:AS168">IF(L84&gt;=0,L84,0)</f>
        <v>0</v>
      </c>
      <c r="AT161" s="239"/>
      <c r="AU161" s="239"/>
      <c r="AV161" s="239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CA161" s="164"/>
      <c r="CB161" s="164"/>
      <c r="CC161" s="164"/>
      <c r="CD161" s="162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</row>
    <row r="162" spans="1:104" ht="12.75">
      <c r="A162" s="239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414">
        <f aca="true" t="shared" si="113" ref="AO162:AO168">B85</f>
        <v>1</v>
      </c>
      <c r="AP162" s="415">
        <f t="shared" si="109"/>
        <v>0</v>
      </c>
      <c r="AQ162" s="415">
        <f t="shared" si="110"/>
        <v>-8.386226614432064E-07</v>
      </c>
      <c r="AR162" s="415">
        <f t="shared" si="111"/>
        <v>-0.001914397848452154</v>
      </c>
      <c r="AS162" s="416">
        <f t="shared" si="112"/>
        <v>0</v>
      </c>
      <c r="AT162" s="239"/>
      <c r="AU162" s="239"/>
      <c r="AV162" s="239"/>
      <c r="AW162" s="239"/>
      <c r="AX162" s="239"/>
      <c r="AY162" s="239"/>
      <c r="AZ162" s="239"/>
      <c r="BA162" s="239"/>
      <c r="BB162" s="239"/>
      <c r="BC162" s="239"/>
      <c r="BD162" s="239"/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CA162" s="164"/>
      <c r="CB162" s="164"/>
      <c r="CC162" s="164"/>
      <c r="CD162" s="162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</row>
    <row r="163" spans="1:104" ht="12.75">
      <c r="A163" s="239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414">
        <f t="shared" si="113"/>
        <v>1</v>
      </c>
      <c r="AP163" s="415">
        <f t="shared" si="109"/>
        <v>0</v>
      </c>
      <c r="AQ163" s="415">
        <f t="shared" si="110"/>
        <v>-8.648167455582809E-07</v>
      </c>
      <c r="AR163" s="415">
        <f t="shared" si="111"/>
        <v>-0.0019122694711768418</v>
      </c>
      <c r="AS163" s="416">
        <f t="shared" si="112"/>
        <v>0</v>
      </c>
      <c r="AT163" s="239"/>
      <c r="AU163" s="239"/>
      <c r="AV163" s="239"/>
      <c r="AW163" s="239"/>
      <c r="AX163" s="239"/>
      <c r="AY163" s="239"/>
      <c r="AZ163" s="239"/>
      <c r="BA163" s="239"/>
      <c r="BB163" s="239"/>
      <c r="BC163" s="239"/>
      <c r="BD163" s="239"/>
      <c r="BE163" s="239"/>
      <c r="BF163" s="239"/>
      <c r="BG163" s="239"/>
      <c r="BH163" s="239"/>
      <c r="BI163" s="239"/>
      <c r="BJ163" s="239"/>
      <c r="BK163" s="239"/>
      <c r="BL163" s="239"/>
      <c r="BM163" s="239"/>
      <c r="BN163" s="239"/>
      <c r="CA163" s="164"/>
      <c r="CB163" s="164"/>
      <c r="CC163" s="164"/>
      <c r="CD163" s="162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</row>
    <row r="164" spans="1:104" ht="12.75">
      <c r="A164" s="239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414">
        <f t="shared" si="113"/>
        <v>1</v>
      </c>
      <c r="AP164" s="415">
        <f t="shared" si="109"/>
        <v>0</v>
      </c>
      <c r="AQ164" s="415">
        <f t="shared" si="110"/>
        <v>-8.908992641775814E-07</v>
      </c>
      <c r="AR164" s="415">
        <f t="shared" si="111"/>
        <v>-0.0019100950674726391</v>
      </c>
      <c r="AS164" s="416">
        <f t="shared" si="112"/>
        <v>0</v>
      </c>
      <c r="AT164" s="239"/>
      <c r="AU164" s="239"/>
      <c r="AV164" s="239"/>
      <c r="AW164" s="239"/>
      <c r="AX164" s="239"/>
      <c r="AY164" s="239"/>
      <c r="AZ164" s="239"/>
      <c r="BA164" s="239"/>
      <c r="BB164" s="239"/>
      <c r="BC164" s="239"/>
      <c r="BD164" s="239"/>
      <c r="BE164" s="239"/>
      <c r="BF164" s="239"/>
      <c r="BG164" s="239"/>
      <c r="BH164" s="239"/>
      <c r="BI164" s="239"/>
      <c r="BJ164" s="239"/>
      <c r="BK164" s="239"/>
      <c r="BL164" s="239"/>
      <c r="BM164" s="239"/>
      <c r="BN164" s="239"/>
      <c r="CA164" s="164"/>
      <c r="CB164" s="164"/>
      <c r="CC164" s="164"/>
      <c r="CD164" s="162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</row>
    <row r="165" spans="1:104" ht="12.75">
      <c r="A165" s="239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414">
        <f t="shared" si="113"/>
        <v>1</v>
      </c>
      <c r="AP165" s="415">
        <f t="shared" si="109"/>
        <v>0</v>
      </c>
      <c r="AQ165" s="415">
        <f t="shared" si="110"/>
        <v>-9.168681951669116E-07</v>
      </c>
      <c r="AR165" s="415">
        <f t="shared" si="111"/>
        <v>-0.0019078756530745977</v>
      </c>
      <c r="AS165" s="416">
        <f t="shared" si="112"/>
        <v>0</v>
      </c>
      <c r="AT165" s="239"/>
      <c r="AU165" s="239"/>
      <c r="AV165" s="239"/>
      <c r="AW165" s="239"/>
      <c r="AX165" s="239"/>
      <c r="AY165" s="239"/>
      <c r="AZ165" s="239"/>
      <c r="BA165" s="239"/>
      <c r="BB165" s="239"/>
      <c r="BC165" s="239"/>
      <c r="BD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N165" s="239"/>
      <c r="CA165" s="164"/>
      <c r="CB165" s="164"/>
      <c r="CC165" s="164"/>
      <c r="CD165" s="162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</row>
    <row r="166" spans="1:104" ht="12.75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  <c r="AO166" s="414">
        <f t="shared" si="113"/>
        <v>1</v>
      </c>
      <c r="AP166" s="415">
        <f t="shared" si="109"/>
        <v>0</v>
      </c>
      <c r="AQ166" s="415">
        <f t="shared" si="110"/>
        <v>-9.427216648876576E-07</v>
      </c>
      <c r="AR166" s="415">
        <f t="shared" si="111"/>
        <v>-0.0019056122474978565</v>
      </c>
      <c r="AS166" s="416">
        <f t="shared" si="112"/>
        <v>0</v>
      </c>
      <c r="AT166" s="239"/>
      <c r="AU166" s="239"/>
      <c r="AV166" s="239"/>
      <c r="AW166" s="239"/>
      <c r="AX166" s="239"/>
      <c r="AY166" s="239"/>
      <c r="AZ166" s="239"/>
      <c r="BA166" s="239"/>
      <c r="BB166" s="239"/>
      <c r="BC166" s="239"/>
      <c r="BD166" s="239"/>
      <c r="BE166" s="239"/>
      <c r="BF166" s="239"/>
      <c r="BG166" s="239"/>
      <c r="BH166" s="239"/>
      <c r="BI166" s="239"/>
      <c r="BJ166" s="239"/>
      <c r="BK166" s="239"/>
      <c r="BL166" s="239"/>
      <c r="BM166" s="239"/>
      <c r="BN166" s="239"/>
      <c r="CA166" s="164"/>
      <c r="CB166" s="164"/>
      <c r="CC166" s="164"/>
      <c r="CD166" s="162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</row>
    <row r="167" spans="1:104" ht="12.75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414">
        <f t="shared" si="113"/>
        <v>1</v>
      </c>
      <c r="AP167" s="415">
        <f t="shared" si="109"/>
        <v>0</v>
      </c>
      <c r="AQ167" s="415">
        <f t="shared" si="110"/>
        <v>-9.68457777924571E-07</v>
      </c>
      <c r="AR167" s="415">
        <f t="shared" si="111"/>
        <v>-0.0019033058729576169</v>
      </c>
      <c r="AS167" s="416">
        <f t="shared" si="112"/>
        <v>0</v>
      </c>
      <c r="AT167" s="239"/>
      <c r="AU167" s="239"/>
      <c r="AV167" s="239"/>
      <c r="AW167" s="239"/>
      <c r="AX167" s="239"/>
      <c r="AY167" s="239"/>
      <c r="AZ167" s="239"/>
      <c r="BA167" s="239"/>
      <c r="BB167" s="239"/>
      <c r="BC167" s="239"/>
      <c r="BD167" s="239"/>
      <c r="BE167" s="239"/>
      <c r="BF167" s="239"/>
      <c r="BG167" s="239"/>
      <c r="BH167" s="239"/>
      <c r="BI167" s="239"/>
      <c r="BJ167" s="239"/>
      <c r="BK167" s="239"/>
      <c r="BL167" s="239"/>
      <c r="BM167" s="239"/>
      <c r="BN167" s="239"/>
      <c r="CA167" s="164"/>
      <c r="CB167" s="164"/>
      <c r="CC167" s="164"/>
      <c r="CD167" s="162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</row>
    <row r="168" spans="1:104" ht="12.75">
      <c r="A168" s="239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417">
        <f t="shared" si="113"/>
        <v>1</v>
      </c>
      <c r="AP168" s="418">
        <f t="shared" si="109"/>
        <v>0</v>
      </c>
      <c r="AQ168" s="418">
        <f t="shared" si="110"/>
        <v>-9.94074745814177E-07</v>
      </c>
      <c r="AR168" s="418">
        <f t="shared" si="111"/>
        <v>-0.0019009575530333223</v>
      </c>
      <c r="AS168" s="419">
        <f t="shared" si="112"/>
        <v>0</v>
      </c>
      <c r="AT168" s="239"/>
      <c r="AU168" s="239"/>
      <c r="AV168" s="239"/>
      <c r="AW168" s="239"/>
      <c r="AX168" s="239"/>
      <c r="AY168" s="239"/>
      <c r="AZ168" s="239"/>
      <c r="BA168" s="239"/>
      <c r="BB168" s="239"/>
      <c r="BC168" s="239"/>
      <c r="BD168" s="239"/>
      <c r="BE168" s="239"/>
      <c r="BF168" s="239"/>
      <c r="BG168" s="239"/>
      <c r="BH168" s="239"/>
      <c r="BI168" s="239"/>
      <c r="BJ168" s="239"/>
      <c r="BK168" s="239"/>
      <c r="BL168" s="239"/>
      <c r="BM168" s="239"/>
      <c r="BN168" s="239"/>
      <c r="CA168" s="164"/>
      <c r="CB168" s="164"/>
      <c r="CC168" s="164"/>
      <c r="CD168" s="162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</row>
    <row r="169" spans="41:104" ht="12.75">
      <c r="AO169" s="81"/>
      <c r="CA169" s="164"/>
      <c r="CB169" s="164"/>
      <c r="CC169" s="164"/>
      <c r="CD169" s="162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</row>
    <row r="170" spans="41:104" ht="12.75">
      <c r="AO170" s="81"/>
      <c r="CA170" s="164"/>
      <c r="CB170" s="164"/>
      <c r="CC170" s="164"/>
      <c r="CD170" s="162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</row>
    <row r="171" spans="41:104" ht="12.75">
      <c r="AO171" s="81"/>
      <c r="CA171" s="164"/>
      <c r="CB171" s="164"/>
      <c r="CC171" s="164"/>
      <c r="CD171" s="162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</row>
    <row r="172" spans="41:104" ht="12.75">
      <c r="AO172" s="81"/>
      <c r="CA172" s="164"/>
      <c r="CB172" s="164"/>
      <c r="CC172" s="164"/>
      <c r="CD172" s="162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</row>
    <row r="173" spans="41:104" ht="12.75">
      <c r="AO173" s="81"/>
      <c r="CA173" s="164"/>
      <c r="CB173" s="164"/>
      <c r="CC173" s="164"/>
      <c r="CD173" s="162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</row>
    <row r="174" spans="41:104" ht="12.75">
      <c r="AO174" s="81"/>
      <c r="CA174" s="164"/>
      <c r="CB174" s="164"/>
      <c r="CC174" s="164"/>
      <c r="CD174" s="162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</row>
    <row r="175" spans="41:104" ht="12.75">
      <c r="AO175" s="81"/>
      <c r="CA175" s="164"/>
      <c r="CB175" s="164"/>
      <c r="CC175" s="164"/>
      <c r="CD175" s="162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</row>
    <row r="176" spans="41:104" ht="12.75">
      <c r="AO176" s="81"/>
      <c r="CA176" s="164"/>
      <c r="CB176" s="164"/>
      <c r="CC176" s="164"/>
      <c r="CD176" s="162"/>
      <c r="CE176" s="164"/>
      <c r="CF176" s="164"/>
      <c r="CG176" s="164"/>
      <c r="CH176" s="164"/>
      <c r="CI176" s="164"/>
      <c r="CJ176" s="164"/>
      <c r="CK176" s="164"/>
      <c r="CL176" s="164"/>
      <c r="CM176" s="164"/>
      <c r="CN176" s="164"/>
      <c r="CO176" s="164"/>
      <c r="CP176" s="164"/>
      <c r="CQ176" s="164"/>
      <c r="CR176" s="164"/>
      <c r="CS176" s="164"/>
      <c r="CT176" s="164"/>
      <c r="CU176" s="164"/>
      <c r="CV176" s="164"/>
      <c r="CW176" s="164"/>
      <c r="CX176" s="164"/>
      <c r="CY176" s="164"/>
      <c r="CZ176" s="164"/>
    </row>
    <row r="177" spans="41:104" ht="12.75">
      <c r="AO177" s="81"/>
      <c r="CA177" s="164"/>
      <c r="CB177" s="164"/>
      <c r="CC177" s="164"/>
      <c r="CD177" s="162"/>
      <c r="CE177" s="164"/>
      <c r="CF177" s="164"/>
      <c r="CG177" s="164"/>
      <c r="CH177" s="164"/>
      <c r="CI177" s="164"/>
      <c r="CJ177" s="164"/>
      <c r="CK177" s="164"/>
      <c r="CL177" s="164"/>
      <c r="CM177" s="164"/>
      <c r="CN177" s="164"/>
      <c r="CO177" s="164"/>
      <c r="CP177" s="164"/>
      <c r="CQ177" s="164"/>
      <c r="CR177" s="164"/>
      <c r="CS177" s="164"/>
      <c r="CT177" s="164"/>
      <c r="CU177" s="164"/>
      <c r="CV177" s="164"/>
      <c r="CW177" s="164"/>
      <c r="CX177" s="164"/>
      <c r="CY177" s="164"/>
      <c r="CZ177" s="164"/>
    </row>
    <row r="178" spans="41:104" ht="12.75">
      <c r="AO178" s="81"/>
      <c r="CA178" s="164"/>
      <c r="CB178" s="164"/>
      <c r="CC178" s="164"/>
      <c r="CD178" s="162"/>
      <c r="CE178" s="164"/>
      <c r="CF178" s="164"/>
      <c r="CG178" s="164"/>
      <c r="CH178" s="164"/>
      <c r="CI178" s="164"/>
      <c r="CJ178" s="164"/>
      <c r="CK178" s="164"/>
      <c r="CL178" s="164"/>
      <c r="CM178" s="164"/>
      <c r="CN178" s="164"/>
      <c r="CO178" s="164"/>
      <c r="CP178" s="164"/>
      <c r="CQ178" s="164"/>
      <c r="CR178" s="164"/>
      <c r="CS178" s="164"/>
      <c r="CT178" s="164"/>
      <c r="CU178" s="164"/>
      <c r="CV178" s="164"/>
      <c r="CW178" s="164"/>
      <c r="CX178" s="164"/>
      <c r="CY178" s="164"/>
      <c r="CZ178" s="164"/>
    </row>
    <row r="179" spans="41:104" ht="12.75">
      <c r="AO179" s="81"/>
      <c r="CA179" s="164"/>
      <c r="CB179" s="164"/>
      <c r="CC179" s="164"/>
      <c r="CD179" s="162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</row>
    <row r="180" spans="41:104" ht="12.75">
      <c r="AO180" s="81"/>
      <c r="CA180" s="164"/>
      <c r="CB180" s="164"/>
      <c r="CC180" s="164"/>
      <c r="CD180" s="162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</row>
    <row r="181" spans="41:104" ht="12.75">
      <c r="AO181" s="13"/>
      <c r="CA181" s="164"/>
      <c r="CB181" s="164"/>
      <c r="CC181" s="164"/>
      <c r="CD181" s="162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</row>
    <row r="182" spans="79:104" ht="12.75">
      <c r="CA182" s="164"/>
      <c r="CB182" s="164"/>
      <c r="CC182" s="164"/>
      <c r="CD182" s="162"/>
      <c r="CE182" s="164"/>
      <c r="CF182" s="164"/>
      <c r="CG182" s="164"/>
      <c r="CH182" s="164"/>
      <c r="CI182" s="164"/>
      <c r="CJ182" s="164"/>
      <c r="CK182" s="164"/>
      <c r="CL182" s="164"/>
      <c r="CM182" s="164"/>
      <c r="CN182" s="164"/>
      <c r="CO182" s="164"/>
      <c r="CP182" s="164"/>
      <c r="CQ182" s="164"/>
      <c r="CR182" s="164"/>
      <c r="CS182" s="164"/>
      <c r="CT182" s="164"/>
      <c r="CU182" s="164"/>
      <c r="CV182" s="164"/>
      <c r="CW182" s="164"/>
      <c r="CX182" s="164"/>
      <c r="CY182" s="164"/>
      <c r="CZ182" s="164"/>
    </row>
    <row r="183" spans="79:104" ht="12.75">
      <c r="CA183" s="164"/>
      <c r="CB183" s="164"/>
      <c r="CC183" s="164"/>
      <c r="CD183" s="162"/>
      <c r="CE183" s="164"/>
      <c r="CF183" s="164"/>
      <c r="CG183" s="164"/>
      <c r="CH183" s="164"/>
      <c r="CI183" s="164"/>
      <c r="CJ183" s="164"/>
      <c r="CK183" s="164"/>
      <c r="CL183" s="164"/>
      <c r="CM183" s="164"/>
      <c r="CN183" s="164"/>
      <c r="CO183" s="164"/>
      <c r="CP183" s="164"/>
      <c r="CQ183" s="164"/>
      <c r="CR183" s="164"/>
      <c r="CS183" s="164"/>
      <c r="CT183" s="164"/>
      <c r="CU183" s="164"/>
      <c r="CV183" s="164"/>
      <c r="CW183" s="164"/>
      <c r="CX183" s="164"/>
      <c r="CY183" s="164"/>
      <c r="CZ183" s="164"/>
    </row>
    <row r="184" spans="79:104" ht="12.75">
      <c r="CA184" s="164"/>
      <c r="CB184" s="164"/>
      <c r="CC184" s="164"/>
      <c r="CD184" s="162"/>
      <c r="CE184" s="164"/>
      <c r="CF184" s="164"/>
      <c r="CG184" s="164"/>
      <c r="CH184" s="164"/>
      <c r="CI184" s="164"/>
      <c r="CJ184" s="164"/>
      <c r="CK184" s="164"/>
      <c r="CL184" s="164"/>
      <c r="CM184" s="164"/>
      <c r="CN184" s="164"/>
      <c r="CO184" s="164"/>
      <c r="CP184" s="164"/>
      <c r="CQ184" s="164"/>
      <c r="CR184" s="164"/>
      <c r="CS184" s="164"/>
      <c r="CT184" s="164"/>
      <c r="CU184" s="164"/>
      <c r="CV184" s="164"/>
      <c r="CW184" s="164"/>
      <c r="CX184" s="164"/>
      <c r="CY184" s="164"/>
      <c r="CZ184" s="164"/>
    </row>
    <row r="185" spans="79:104" ht="12.75">
      <c r="CA185" s="164"/>
      <c r="CB185" s="164"/>
      <c r="CC185" s="164"/>
      <c r="CD185" s="162"/>
      <c r="CE185" s="164"/>
      <c r="CF185" s="164"/>
      <c r="CG185" s="164"/>
      <c r="CH185" s="164"/>
      <c r="CI185" s="164"/>
      <c r="CJ185" s="164"/>
      <c r="CK185" s="164"/>
      <c r="CL185" s="164"/>
      <c r="CM185" s="164"/>
      <c r="CN185" s="164"/>
      <c r="CO185" s="164"/>
      <c r="CP185" s="164"/>
      <c r="CQ185" s="164"/>
      <c r="CR185" s="164"/>
      <c r="CS185" s="164"/>
      <c r="CT185" s="164"/>
      <c r="CU185" s="164"/>
      <c r="CV185" s="164"/>
      <c r="CW185" s="164"/>
      <c r="CX185" s="164"/>
      <c r="CY185" s="164"/>
      <c r="CZ185" s="164"/>
    </row>
    <row r="186" spans="79:104" ht="12.75">
      <c r="CA186" s="164"/>
      <c r="CB186" s="164"/>
      <c r="CC186" s="164"/>
      <c r="CD186" s="162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</row>
    <row r="187" spans="79:104" ht="12.75">
      <c r="CA187" s="164"/>
      <c r="CB187" s="164"/>
      <c r="CC187" s="164"/>
      <c r="CD187" s="162"/>
      <c r="CE187" s="164"/>
      <c r="CF187" s="164"/>
      <c r="CG187" s="164"/>
      <c r="CH187" s="164"/>
      <c r="CI187" s="164"/>
      <c r="CJ187" s="164"/>
      <c r="CK187" s="164"/>
      <c r="CL187" s="164"/>
      <c r="CM187" s="164"/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</row>
    <row r="188" spans="79:104" ht="12.75">
      <c r="CA188" s="164"/>
      <c r="CB188" s="164"/>
      <c r="CC188" s="164"/>
      <c r="CD188" s="162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4"/>
      <c r="CY188" s="164"/>
      <c r="CZ188" s="164"/>
    </row>
    <row r="189" spans="79:104" ht="12.75">
      <c r="CA189" s="164"/>
      <c r="CB189" s="164"/>
      <c r="CC189" s="164"/>
      <c r="CD189" s="162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4"/>
      <c r="CY189" s="164"/>
      <c r="CZ189" s="164"/>
    </row>
    <row r="190" spans="79:104" ht="12.75">
      <c r="CA190" s="164"/>
      <c r="CB190" s="164"/>
      <c r="CC190" s="164"/>
      <c r="CD190" s="162"/>
      <c r="CE190" s="164"/>
      <c r="CF190" s="164"/>
      <c r="CG190" s="164"/>
      <c r="CH190" s="164"/>
      <c r="CI190" s="164"/>
      <c r="CJ190" s="164"/>
      <c r="CK190" s="164"/>
      <c r="CL190" s="164"/>
      <c r="CM190" s="164"/>
      <c r="CN190" s="164"/>
      <c r="CO190" s="164"/>
      <c r="CP190" s="164"/>
      <c r="CQ190" s="164"/>
      <c r="CR190" s="164"/>
      <c r="CS190" s="164"/>
      <c r="CT190" s="164"/>
      <c r="CU190" s="164"/>
      <c r="CV190" s="164"/>
      <c r="CW190" s="164"/>
      <c r="CX190" s="164"/>
      <c r="CY190" s="164"/>
      <c r="CZ190" s="164"/>
    </row>
    <row r="191" spans="79:104" ht="12.75">
      <c r="CA191" s="164"/>
      <c r="CB191" s="164"/>
      <c r="CC191" s="164"/>
      <c r="CD191" s="162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4"/>
      <c r="CY191" s="164"/>
      <c r="CZ191" s="164"/>
    </row>
    <row r="192" spans="79:104" ht="12.75">
      <c r="CA192" s="164"/>
      <c r="CB192" s="164"/>
      <c r="CC192" s="164"/>
      <c r="CD192" s="162"/>
      <c r="CE192" s="164"/>
      <c r="CF192" s="164"/>
      <c r="CG192" s="164"/>
      <c r="CH192" s="164"/>
      <c r="CI192" s="164"/>
      <c r="CJ192" s="164"/>
      <c r="CK192" s="164"/>
      <c r="CL192" s="164"/>
      <c r="CM192" s="164"/>
      <c r="CN192" s="164"/>
      <c r="CO192" s="164"/>
      <c r="CP192" s="164"/>
      <c r="CQ192" s="164"/>
      <c r="CR192" s="164"/>
      <c r="CS192" s="164"/>
      <c r="CT192" s="164"/>
      <c r="CU192" s="164"/>
      <c r="CV192" s="164"/>
      <c r="CW192" s="164"/>
      <c r="CX192" s="164"/>
      <c r="CY192" s="164"/>
      <c r="CZ192" s="164"/>
    </row>
    <row r="193" spans="79:104" ht="12.75">
      <c r="CA193" s="164"/>
      <c r="CB193" s="164"/>
      <c r="CC193" s="164"/>
      <c r="CD193" s="162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64"/>
      <c r="CZ193" s="164"/>
    </row>
    <row r="194" spans="79:104" ht="12.75">
      <c r="CA194" s="164"/>
      <c r="CB194" s="164"/>
      <c r="CC194" s="164"/>
      <c r="CD194" s="162"/>
      <c r="CE194" s="164"/>
      <c r="CF194" s="164"/>
      <c r="CG194" s="164"/>
      <c r="CH194" s="164"/>
      <c r="CI194" s="164"/>
      <c r="CJ194" s="164"/>
      <c r="CK194" s="164"/>
      <c r="CL194" s="164"/>
      <c r="CM194" s="164"/>
      <c r="CN194" s="164"/>
      <c r="CO194" s="164"/>
      <c r="CP194" s="164"/>
      <c r="CQ194" s="164"/>
      <c r="CR194" s="164"/>
      <c r="CS194" s="164"/>
      <c r="CT194" s="164"/>
      <c r="CU194" s="164"/>
      <c r="CV194" s="164"/>
      <c r="CW194" s="164"/>
      <c r="CX194" s="164"/>
      <c r="CY194" s="164"/>
      <c r="CZ194" s="164"/>
    </row>
    <row r="195" spans="79:104" ht="12.75">
      <c r="CA195" s="164"/>
      <c r="CB195" s="164"/>
      <c r="CC195" s="164"/>
      <c r="CD195" s="162"/>
      <c r="CE195" s="164"/>
      <c r="CF195" s="164"/>
      <c r="CG195" s="164"/>
      <c r="CH195" s="164"/>
      <c r="CI195" s="164"/>
      <c r="CJ195" s="164"/>
      <c r="CK195" s="164"/>
      <c r="CL195" s="164"/>
      <c r="CM195" s="164"/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4"/>
      <c r="CY195" s="164"/>
      <c r="CZ195" s="164"/>
    </row>
    <row r="196" spans="79:104" ht="12.75">
      <c r="CA196" s="164"/>
      <c r="CB196" s="164"/>
      <c r="CC196" s="164"/>
      <c r="CD196" s="162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164"/>
      <c r="CO196" s="164"/>
      <c r="CP196" s="164"/>
      <c r="CQ196" s="164"/>
      <c r="CR196" s="164"/>
      <c r="CS196" s="164"/>
      <c r="CT196" s="164"/>
      <c r="CU196" s="164"/>
      <c r="CV196" s="164"/>
      <c r="CW196" s="164"/>
      <c r="CX196" s="164"/>
      <c r="CY196" s="164"/>
      <c r="CZ196" s="164"/>
    </row>
    <row r="197" spans="79:104" ht="12.75">
      <c r="CA197" s="164"/>
      <c r="CB197" s="164"/>
      <c r="CC197" s="164"/>
      <c r="CD197" s="162"/>
      <c r="CE197" s="164"/>
      <c r="CF197" s="164"/>
      <c r="CG197" s="164"/>
      <c r="CH197" s="164"/>
      <c r="CI197" s="164"/>
      <c r="CJ197" s="164"/>
      <c r="CK197" s="164"/>
      <c r="CL197" s="164"/>
      <c r="CM197" s="164"/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</row>
    <row r="198" spans="79:104" ht="12.75">
      <c r="CA198" s="164"/>
      <c r="CB198" s="164"/>
      <c r="CC198" s="164"/>
      <c r="CD198" s="162"/>
      <c r="CE198" s="164"/>
      <c r="CF198" s="164"/>
      <c r="CG198" s="164"/>
      <c r="CH198" s="164"/>
      <c r="CI198" s="164"/>
      <c r="CJ198" s="164"/>
      <c r="CK198" s="164"/>
      <c r="CL198" s="164"/>
      <c r="CM198" s="164"/>
      <c r="CN198" s="164"/>
      <c r="CO198" s="164"/>
      <c r="CP198" s="164"/>
      <c r="CQ198" s="164"/>
      <c r="CR198" s="164"/>
      <c r="CS198" s="164"/>
      <c r="CT198" s="164"/>
      <c r="CU198" s="164"/>
      <c r="CV198" s="164"/>
      <c r="CW198" s="164"/>
      <c r="CX198" s="164"/>
      <c r="CY198" s="164"/>
      <c r="CZ198" s="164"/>
    </row>
    <row r="199" spans="79:104" ht="12.75">
      <c r="CA199" s="164"/>
      <c r="CB199" s="164"/>
      <c r="CC199" s="164"/>
      <c r="CD199" s="162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</row>
    <row r="200" spans="79:104" ht="12.75">
      <c r="CA200" s="164"/>
      <c r="CB200" s="164"/>
      <c r="CC200" s="164"/>
      <c r="CD200" s="162"/>
      <c r="CE200" s="164"/>
      <c r="CF200" s="164"/>
      <c r="CG200" s="164"/>
      <c r="CH200" s="164"/>
      <c r="CI200" s="164"/>
      <c r="CJ200" s="164"/>
      <c r="CK200" s="164"/>
      <c r="CL200" s="164"/>
      <c r="CM200" s="164"/>
      <c r="CN200" s="164"/>
      <c r="CO200" s="164"/>
      <c r="CP200" s="164"/>
      <c r="CQ200" s="164"/>
      <c r="CR200" s="164"/>
      <c r="CS200" s="164"/>
      <c r="CT200" s="164"/>
      <c r="CU200" s="164"/>
      <c r="CV200" s="164"/>
      <c r="CW200" s="164"/>
      <c r="CX200" s="164"/>
      <c r="CY200" s="164"/>
      <c r="CZ200" s="164"/>
    </row>
    <row r="201" spans="79:104" ht="12.75">
      <c r="CA201" s="164"/>
      <c r="CB201" s="164"/>
      <c r="CC201" s="164"/>
      <c r="CD201" s="162"/>
      <c r="CE201" s="164"/>
      <c r="CF201" s="164"/>
      <c r="CG201" s="164"/>
      <c r="CH201" s="164"/>
      <c r="CI201" s="164"/>
      <c r="CJ201" s="164"/>
      <c r="CK201" s="164"/>
      <c r="CL201" s="164"/>
      <c r="CM201" s="164"/>
      <c r="CN201" s="164"/>
      <c r="CO201" s="164"/>
      <c r="CP201" s="164"/>
      <c r="CQ201" s="164"/>
      <c r="CR201" s="164"/>
      <c r="CS201" s="164"/>
      <c r="CT201" s="164"/>
      <c r="CU201" s="164"/>
      <c r="CV201" s="164"/>
      <c r="CW201" s="164"/>
      <c r="CX201" s="164"/>
      <c r="CY201" s="164"/>
      <c r="CZ201" s="164"/>
    </row>
    <row r="202" spans="79:104" ht="12.75">
      <c r="CA202" s="164"/>
      <c r="CB202" s="164"/>
      <c r="CC202" s="164"/>
      <c r="CD202" s="162"/>
      <c r="CE202" s="164"/>
      <c r="CF202" s="164"/>
      <c r="CG202" s="164"/>
      <c r="CH202" s="164"/>
      <c r="CI202" s="164"/>
      <c r="CJ202" s="164"/>
      <c r="CK202" s="164"/>
      <c r="CL202" s="164"/>
      <c r="CM202" s="164"/>
      <c r="CN202" s="164"/>
      <c r="CO202" s="164"/>
      <c r="CP202" s="164"/>
      <c r="CQ202" s="164"/>
      <c r="CR202" s="164"/>
      <c r="CS202" s="164"/>
      <c r="CT202" s="164"/>
      <c r="CU202" s="164"/>
      <c r="CV202" s="164"/>
      <c r="CW202" s="164"/>
      <c r="CX202" s="164"/>
      <c r="CY202" s="164"/>
      <c r="CZ202" s="164"/>
    </row>
    <row r="203" spans="79:104" ht="12.75">
      <c r="CA203" s="164"/>
      <c r="CB203" s="164"/>
      <c r="CC203" s="164"/>
      <c r="CD203" s="162"/>
      <c r="CE203" s="164"/>
      <c r="CF203" s="164"/>
      <c r="CG203" s="164"/>
      <c r="CH203" s="164"/>
      <c r="CI203" s="164"/>
      <c r="CJ203" s="164"/>
      <c r="CK203" s="164"/>
      <c r="CL203" s="164"/>
      <c r="CM203" s="164"/>
      <c r="CN203" s="164"/>
      <c r="CO203" s="164"/>
      <c r="CP203" s="164"/>
      <c r="CQ203" s="164"/>
      <c r="CR203" s="164"/>
      <c r="CS203" s="164"/>
      <c r="CT203" s="164"/>
      <c r="CU203" s="164"/>
      <c r="CV203" s="164"/>
      <c r="CW203" s="164"/>
      <c r="CX203" s="164"/>
      <c r="CY203" s="164"/>
      <c r="CZ203" s="164"/>
    </row>
    <row r="204" spans="79:104" ht="12.75">
      <c r="CA204" s="164"/>
      <c r="CB204" s="164"/>
      <c r="CC204" s="164"/>
      <c r="CD204" s="162"/>
      <c r="CE204" s="164"/>
      <c r="CF204" s="164"/>
      <c r="CG204" s="164"/>
      <c r="CH204" s="164"/>
      <c r="CI204" s="164"/>
      <c r="CJ204" s="164"/>
      <c r="CK204" s="164"/>
      <c r="CL204" s="164"/>
      <c r="CM204" s="164"/>
      <c r="CN204" s="164"/>
      <c r="CO204" s="164"/>
      <c r="CP204" s="164"/>
      <c r="CQ204" s="164"/>
      <c r="CR204" s="164"/>
      <c r="CS204" s="164"/>
      <c r="CT204" s="164"/>
      <c r="CU204" s="164"/>
      <c r="CV204" s="164"/>
      <c r="CW204" s="164"/>
      <c r="CX204" s="164"/>
      <c r="CY204" s="164"/>
      <c r="CZ204" s="164"/>
    </row>
    <row r="205" spans="79:104" ht="12.75">
      <c r="CA205" s="164"/>
      <c r="CB205" s="164"/>
      <c r="CC205" s="164"/>
      <c r="CD205" s="162"/>
      <c r="CE205" s="164"/>
      <c r="CF205" s="164"/>
      <c r="CG205" s="164"/>
      <c r="CH205" s="164"/>
      <c r="CI205" s="164"/>
      <c r="CJ205" s="164"/>
      <c r="CK205" s="164"/>
      <c r="CL205" s="164"/>
      <c r="CM205" s="164"/>
      <c r="CN205" s="164"/>
      <c r="CO205" s="164"/>
      <c r="CP205" s="164"/>
      <c r="CQ205" s="164"/>
      <c r="CR205" s="164"/>
      <c r="CS205" s="164"/>
      <c r="CT205" s="164"/>
      <c r="CU205" s="164"/>
      <c r="CV205" s="164"/>
      <c r="CW205" s="164"/>
      <c r="CX205" s="164"/>
      <c r="CY205" s="164"/>
      <c r="CZ205" s="164"/>
    </row>
    <row r="206" spans="79:104" ht="12.75">
      <c r="CA206" s="164"/>
      <c r="CB206" s="164"/>
      <c r="CC206" s="164"/>
      <c r="CD206" s="162"/>
      <c r="CE206" s="164"/>
      <c r="CF206" s="164"/>
      <c r="CG206" s="164"/>
      <c r="CH206" s="164"/>
      <c r="CI206" s="164"/>
      <c r="CJ206" s="164"/>
      <c r="CK206" s="164"/>
      <c r="CL206" s="164"/>
      <c r="CM206" s="164"/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</row>
    <row r="207" spans="79:104" ht="12.75">
      <c r="CA207" s="164"/>
      <c r="CB207" s="164"/>
      <c r="CC207" s="164"/>
      <c r="CD207" s="162"/>
      <c r="CE207" s="164"/>
      <c r="CF207" s="164"/>
      <c r="CG207" s="164"/>
      <c r="CH207" s="164"/>
      <c r="CI207" s="164"/>
      <c r="CJ207" s="164"/>
      <c r="CK207" s="164"/>
      <c r="CL207" s="164"/>
      <c r="CM207" s="164"/>
      <c r="CN207" s="164"/>
      <c r="CO207" s="164"/>
      <c r="CP207" s="164"/>
      <c r="CQ207" s="164"/>
      <c r="CR207" s="164"/>
      <c r="CS207" s="164"/>
      <c r="CT207" s="164"/>
      <c r="CU207" s="164"/>
      <c r="CV207" s="164"/>
      <c r="CW207" s="164"/>
      <c r="CX207" s="164"/>
      <c r="CY207" s="164"/>
      <c r="CZ207" s="164"/>
    </row>
    <row r="208" spans="79:104" ht="12.75">
      <c r="CA208" s="164"/>
      <c r="CB208" s="164"/>
      <c r="CC208" s="164"/>
      <c r="CD208" s="162"/>
      <c r="CE208" s="164"/>
      <c r="CF208" s="164"/>
      <c r="CG208" s="164"/>
      <c r="CH208" s="164"/>
      <c r="CI208" s="164"/>
      <c r="CJ208" s="164"/>
      <c r="CK208" s="164"/>
      <c r="CL208" s="164"/>
      <c r="CM208" s="164"/>
      <c r="CN208" s="164"/>
      <c r="CO208" s="164"/>
      <c r="CP208" s="164"/>
      <c r="CQ208" s="164"/>
      <c r="CR208" s="164"/>
      <c r="CS208" s="164"/>
      <c r="CT208" s="164"/>
      <c r="CU208" s="164"/>
      <c r="CV208" s="164"/>
      <c r="CW208" s="164"/>
      <c r="CX208" s="164"/>
      <c r="CY208" s="164"/>
      <c r="CZ208" s="164"/>
    </row>
    <row r="209" spans="79:104" ht="12.75">
      <c r="CA209" s="164"/>
      <c r="CB209" s="164"/>
      <c r="CC209" s="164"/>
      <c r="CD209" s="162"/>
      <c r="CE209" s="164"/>
      <c r="CF209" s="164"/>
      <c r="CG209" s="164"/>
      <c r="CH209" s="164"/>
      <c r="CI209" s="164"/>
      <c r="CJ209" s="164"/>
      <c r="CK209" s="164"/>
      <c r="CL209" s="164"/>
      <c r="CM209" s="164"/>
      <c r="CN209" s="164"/>
      <c r="CO209" s="164"/>
      <c r="CP209" s="164"/>
      <c r="CQ209" s="164"/>
      <c r="CR209" s="164"/>
      <c r="CS209" s="164"/>
      <c r="CT209" s="164"/>
      <c r="CU209" s="164"/>
      <c r="CV209" s="164"/>
      <c r="CW209" s="164"/>
      <c r="CX209" s="164"/>
      <c r="CY209" s="164"/>
      <c r="CZ209" s="164"/>
    </row>
    <row r="210" spans="79:104" ht="12.75">
      <c r="CA210" s="164"/>
      <c r="CB210" s="164"/>
      <c r="CC210" s="164"/>
      <c r="CD210" s="162"/>
      <c r="CE210" s="164"/>
      <c r="CF210" s="164"/>
      <c r="CG210" s="164"/>
      <c r="CH210" s="164"/>
      <c r="CI210" s="164"/>
      <c r="CJ210" s="164"/>
      <c r="CK210" s="164"/>
      <c r="CL210" s="164"/>
      <c r="CM210" s="164"/>
      <c r="CN210" s="164"/>
      <c r="CO210" s="164"/>
      <c r="CP210" s="164"/>
      <c r="CQ210" s="164"/>
      <c r="CR210" s="164"/>
      <c r="CS210" s="164"/>
      <c r="CT210" s="164"/>
      <c r="CU210" s="164"/>
      <c r="CV210" s="164"/>
      <c r="CW210" s="164"/>
      <c r="CX210" s="164"/>
      <c r="CY210" s="164"/>
      <c r="CZ210" s="164"/>
    </row>
    <row r="211" spans="79:104" ht="12.75">
      <c r="CA211" s="164"/>
      <c r="CB211" s="164"/>
      <c r="CC211" s="164"/>
      <c r="CD211" s="162"/>
      <c r="CE211" s="164"/>
      <c r="CF211" s="164"/>
      <c r="CG211" s="164"/>
      <c r="CH211" s="164"/>
      <c r="CI211" s="164"/>
      <c r="CJ211" s="164"/>
      <c r="CK211" s="164"/>
      <c r="CL211" s="164"/>
      <c r="CM211" s="164"/>
      <c r="CN211" s="164"/>
      <c r="CO211" s="164"/>
      <c r="CP211" s="164"/>
      <c r="CQ211" s="164"/>
      <c r="CR211" s="164"/>
      <c r="CS211" s="164"/>
      <c r="CT211" s="164"/>
      <c r="CU211" s="164"/>
      <c r="CV211" s="164"/>
      <c r="CW211" s="164"/>
      <c r="CX211" s="164"/>
      <c r="CY211" s="164"/>
      <c r="CZ211" s="164"/>
    </row>
    <row r="212" spans="79:104" ht="12.75">
      <c r="CA212" s="164"/>
      <c r="CB212" s="164"/>
      <c r="CC212" s="164"/>
      <c r="CD212" s="162"/>
      <c r="CE212" s="164"/>
      <c r="CF212" s="164"/>
      <c r="CG212" s="164"/>
      <c r="CH212" s="164"/>
      <c r="CI212" s="164"/>
      <c r="CJ212" s="164"/>
      <c r="CK212" s="164"/>
      <c r="CL212" s="164"/>
      <c r="CM212" s="164"/>
      <c r="CN212" s="164"/>
      <c r="CO212" s="164"/>
      <c r="CP212" s="164"/>
      <c r="CQ212" s="164"/>
      <c r="CR212" s="164"/>
      <c r="CS212" s="164"/>
      <c r="CT212" s="164"/>
      <c r="CU212" s="164"/>
      <c r="CV212" s="164"/>
      <c r="CW212" s="164"/>
      <c r="CX212" s="164"/>
      <c r="CY212" s="164"/>
      <c r="CZ212" s="164"/>
    </row>
    <row r="213" spans="79:104" ht="12.75">
      <c r="CA213" s="164"/>
      <c r="CB213" s="164"/>
      <c r="CC213" s="164"/>
      <c r="CD213" s="162"/>
      <c r="CE213" s="164"/>
      <c r="CF213" s="164"/>
      <c r="CG213" s="164"/>
      <c r="CH213" s="164"/>
      <c r="CI213" s="164"/>
      <c r="CJ213" s="164"/>
      <c r="CK213" s="164"/>
      <c r="CL213" s="164"/>
      <c r="CM213" s="164"/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4"/>
      <c r="CY213" s="164"/>
      <c r="CZ213" s="164"/>
    </row>
    <row r="214" spans="79:104" ht="12.75">
      <c r="CA214" s="164"/>
      <c r="CB214" s="164"/>
      <c r="CC214" s="164"/>
      <c r="CD214" s="162"/>
      <c r="CE214" s="164"/>
      <c r="CF214" s="164"/>
      <c r="CG214" s="164"/>
      <c r="CH214" s="164"/>
      <c r="CI214" s="164"/>
      <c r="CJ214" s="164"/>
      <c r="CK214" s="164"/>
      <c r="CL214" s="164"/>
      <c r="CM214" s="164"/>
      <c r="CN214" s="164"/>
      <c r="CO214" s="164"/>
      <c r="CP214" s="164"/>
      <c r="CQ214" s="164"/>
      <c r="CR214" s="164"/>
      <c r="CS214" s="164"/>
      <c r="CT214" s="164"/>
      <c r="CU214" s="164"/>
      <c r="CV214" s="164"/>
      <c r="CW214" s="164"/>
      <c r="CX214" s="164"/>
      <c r="CY214" s="164"/>
      <c r="CZ214" s="164"/>
    </row>
    <row r="215" spans="79:104" ht="12.75">
      <c r="CA215" s="164"/>
      <c r="CB215" s="164"/>
      <c r="CC215" s="164"/>
      <c r="CD215" s="162"/>
      <c r="CE215" s="164"/>
      <c r="CF215" s="164"/>
      <c r="CG215" s="164"/>
      <c r="CH215" s="164"/>
      <c r="CI215" s="164"/>
      <c r="CJ215" s="164"/>
      <c r="CK215" s="164"/>
      <c r="CL215" s="164"/>
      <c r="CM215" s="164"/>
      <c r="CN215" s="164"/>
      <c r="CO215" s="164"/>
      <c r="CP215" s="164"/>
      <c r="CQ215" s="164"/>
      <c r="CR215" s="164"/>
      <c r="CS215" s="164"/>
      <c r="CT215" s="164"/>
      <c r="CU215" s="164"/>
      <c r="CV215" s="164"/>
      <c r="CW215" s="164"/>
      <c r="CX215" s="164"/>
      <c r="CY215" s="164"/>
      <c r="CZ215" s="164"/>
    </row>
    <row r="216" spans="79:104" ht="12.75">
      <c r="CA216" s="164"/>
      <c r="CB216" s="164"/>
      <c r="CC216" s="164"/>
      <c r="CD216" s="162"/>
      <c r="CE216" s="164"/>
      <c r="CF216" s="164"/>
      <c r="CG216" s="164"/>
      <c r="CH216" s="164"/>
      <c r="CI216" s="164"/>
      <c r="CJ216" s="164"/>
      <c r="CK216" s="164"/>
      <c r="CL216" s="164"/>
      <c r="CM216" s="164"/>
      <c r="CN216" s="164"/>
      <c r="CO216" s="164"/>
      <c r="CP216" s="164"/>
      <c r="CQ216" s="164"/>
      <c r="CR216" s="164"/>
      <c r="CS216" s="164"/>
      <c r="CT216" s="164"/>
      <c r="CU216" s="164"/>
      <c r="CV216" s="164"/>
      <c r="CW216" s="164"/>
      <c r="CX216" s="164"/>
      <c r="CY216" s="164"/>
      <c r="CZ216" s="164"/>
    </row>
    <row r="217" spans="79:104" ht="12.75">
      <c r="CA217" s="164"/>
      <c r="CB217" s="164"/>
      <c r="CC217" s="164"/>
      <c r="CD217" s="162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164"/>
      <c r="CO217" s="164"/>
      <c r="CP217" s="164"/>
      <c r="CQ217" s="164"/>
      <c r="CR217" s="164"/>
      <c r="CS217" s="164"/>
      <c r="CT217" s="164"/>
      <c r="CU217" s="164"/>
      <c r="CV217" s="164"/>
      <c r="CW217" s="164"/>
      <c r="CX217" s="164"/>
      <c r="CY217" s="164"/>
      <c r="CZ217" s="164"/>
    </row>
    <row r="218" spans="79:104" ht="12.75">
      <c r="CA218" s="164"/>
      <c r="CB218" s="164"/>
      <c r="CC218" s="164"/>
      <c r="CD218" s="162"/>
      <c r="CE218" s="164"/>
      <c r="CF218" s="164"/>
      <c r="CG218" s="164"/>
      <c r="CH218" s="164"/>
      <c r="CI218" s="164"/>
      <c r="CJ218" s="164"/>
      <c r="CK218" s="164"/>
      <c r="CL218" s="164"/>
      <c r="CM218" s="164"/>
      <c r="CN218" s="164"/>
      <c r="CO218" s="164"/>
      <c r="CP218" s="164"/>
      <c r="CQ218" s="164"/>
      <c r="CR218" s="164"/>
      <c r="CS218" s="164"/>
      <c r="CT218" s="164"/>
      <c r="CU218" s="164"/>
      <c r="CV218" s="164"/>
      <c r="CW218" s="164"/>
      <c r="CX218" s="164"/>
      <c r="CY218" s="164"/>
      <c r="CZ218" s="164"/>
    </row>
    <row r="219" spans="79:104" ht="12.75">
      <c r="CA219" s="164"/>
      <c r="CB219" s="164"/>
      <c r="CC219" s="164"/>
      <c r="CD219" s="162"/>
      <c r="CE219" s="164"/>
      <c r="CF219" s="164"/>
      <c r="CG219" s="164"/>
      <c r="CH219" s="164"/>
      <c r="CI219" s="164"/>
      <c r="CJ219" s="164"/>
      <c r="CK219" s="164"/>
      <c r="CL219" s="164"/>
      <c r="CM219" s="164"/>
      <c r="CN219" s="164"/>
      <c r="CO219" s="164"/>
      <c r="CP219" s="164"/>
      <c r="CQ219" s="164"/>
      <c r="CR219" s="164"/>
      <c r="CS219" s="164"/>
      <c r="CT219" s="164"/>
      <c r="CU219" s="164"/>
      <c r="CV219" s="164"/>
      <c r="CW219" s="164"/>
      <c r="CX219" s="164"/>
      <c r="CY219" s="164"/>
      <c r="CZ219" s="164"/>
    </row>
    <row r="220" spans="79:104" ht="12.75">
      <c r="CA220" s="164"/>
      <c r="CB220" s="164"/>
      <c r="CC220" s="164"/>
      <c r="CD220" s="162"/>
      <c r="CE220" s="164"/>
      <c r="CF220" s="164"/>
      <c r="CG220" s="164"/>
      <c r="CH220" s="164"/>
      <c r="CI220" s="164"/>
      <c r="CJ220" s="164"/>
      <c r="CK220" s="164"/>
      <c r="CL220" s="164"/>
      <c r="CM220" s="164"/>
      <c r="CN220" s="164"/>
      <c r="CO220" s="164"/>
      <c r="CP220" s="164"/>
      <c r="CQ220" s="164"/>
      <c r="CR220" s="164"/>
      <c r="CS220" s="164"/>
      <c r="CT220" s="164"/>
      <c r="CU220" s="164"/>
      <c r="CV220" s="164"/>
      <c r="CW220" s="164"/>
      <c r="CX220" s="164"/>
      <c r="CY220" s="164"/>
      <c r="CZ220" s="164"/>
    </row>
    <row r="221" spans="79:104" ht="12.75">
      <c r="CA221" s="164"/>
      <c r="CB221" s="164"/>
      <c r="CC221" s="164"/>
      <c r="CD221" s="162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164"/>
      <c r="CO221" s="164"/>
      <c r="CP221" s="164"/>
      <c r="CQ221" s="164"/>
      <c r="CR221" s="164"/>
      <c r="CS221" s="164"/>
      <c r="CT221" s="164"/>
      <c r="CU221" s="164"/>
      <c r="CV221" s="164"/>
      <c r="CW221" s="164"/>
      <c r="CX221" s="164"/>
      <c r="CY221" s="164"/>
      <c r="CZ221" s="164"/>
    </row>
    <row r="222" spans="79:104" ht="12.75">
      <c r="CA222" s="164"/>
      <c r="CB222" s="164"/>
      <c r="CC222" s="164"/>
      <c r="CD222" s="162"/>
      <c r="CE222" s="164"/>
      <c r="CF222" s="164"/>
      <c r="CG222" s="164"/>
      <c r="CH222" s="164"/>
      <c r="CI222" s="164"/>
      <c r="CJ222" s="164"/>
      <c r="CK222" s="164"/>
      <c r="CL222" s="164"/>
      <c r="CM222" s="164"/>
      <c r="CN222" s="164"/>
      <c r="CO222" s="164"/>
      <c r="CP222" s="164"/>
      <c r="CQ222" s="164"/>
      <c r="CR222" s="164"/>
      <c r="CS222" s="164"/>
      <c r="CT222" s="164"/>
      <c r="CU222" s="164"/>
      <c r="CV222" s="164"/>
      <c r="CW222" s="164"/>
      <c r="CX222" s="164"/>
      <c r="CY222" s="164"/>
      <c r="CZ222" s="164"/>
    </row>
    <row r="223" spans="79:104" ht="12.75">
      <c r="CA223" s="164"/>
      <c r="CB223" s="164"/>
      <c r="CC223" s="164"/>
      <c r="CD223" s="162"/>
      <c r="CE223" s="164"/>
      <c r="CF223" s="164"/>
      <c r="CG223" s="164"/>
      <c r="CH223" s="164"/>
      <c r="CI223" s="164"/>
      <c r="CJ223" s="164"/>
      <c r="CK223" s="164"/>
      <c r="CL223" s="164"/>
      <c r="CM223" s="164"/>
      <c r="CN223" s="164"/>
      <c r="CO223" s="164"/>
      <c r="CP223" s="164"/>
      <c r="CQ223" s="164"/>
      <c r="CR223" s="164"/>
      <c r="CS223" s="164"/>
      <c r="CT223" s="164"/>
      <c r="CU223" s="164"/>
      <c r="CV223" s="164"/>
      <c r="CW223" s="164"/>
      <c r="CX223" s="164"/>
      <c r="CY223" s="164"/>
      <c r="CZ223" s="164"/>
    </row>
    <row r="224" spans="79:104" ht="12.75">
      <c r="CA224" s="164"/>
      <c r="CB224" s="164"/>
      <c r="CC224" s="164"/>
      <c r="CD224" s="162"/>
      <c r="CE224" s="164"/>
      <c r="CF224" s="164"/>
      <c r="CG224" s="164"/>
      <c r="CH224" s="164"/>
      <c r="CI224" s="164"/>
      <c r="CJ224" s="164"/>
      <c r="CK224" s="164"/>
      <c r="CL224" s="164"/>
      <c r="CM224" s="164"/>
      <c r="CN224" s="164"/>
      <c r="CO224" s="164"/>
      <c r="CP224" s="164"/>
      <c r="CQ224" s="164"/>
      <c r="CR224" s="164"/>
      <c r="CS224" s="164"/>
      <c r="CT224" s="164"/>
      <c r="CU224" s="164"/>
      <c r="CV224" s="164"/>
      <c r="CW224" s="164"/>
      <c r="CX224" s="164"/>
      <c r="CY224" s="164"/>
      <c r="CZ224" s="164"/>
    </row>
    <row r="225" spans="79:104" ht="12.75">
      <c r="CA225" s="164"/>
      <c r="CB225" s="164"/>
      <c r="CC225" s="164"/>
      <c r="CD225" s="162"/>
      <c r="CE225" s="164"/>
      <c r="CF225" s="164"/>
      <c r="CG225" s="164"/>
      <c r="CH225" s="164"/>
      <c r="CI225" s="164"/>
      <c r="CJ225" s="164"/>
      <c r="CK225" s="164"/>
      <c r="CL225" s="164"/>
      <c r="CM225" s="164"/>
      <c r="CN225" s="164"/>
      <c r="CO225" s="164"/>
      <c r="CP225" s="164"/>
      <c r="CQ225" s="164"/>
      <c r="CR225" s="164"/>
      <c r="CS225" s="164"/>
      <c r="CT225" s="164"/>
      <c r="CU225" s="164"/>
      <c r="CV225" s="164"/>
      <c r="CW225" s="164"/>
      <c r="CX225" s="164"/>
      <c r="CY225" s="164"/>
      <c r="CZ225" s="164"/>
    </row>
    <row r="226" spans="79:104" ht="12.75">
      <c r="CA226" s="164"/>
      <c r="CB226" s="164"/>
      <c r="CC226" s="164"/>
      <c r="CD226" s="162"/>
      <c r="CE226" s="164"/>
      <c r="CF226" s="164"/>
      <c r="CG226" s="164"/>
      <c r="CH226" s="164"/>
      <c r="CI226" s="164"/>
      <c r="CJ226" s="164"/>
      <c r="CK226" s="164"/>
      <c r="CL226" s="164"/>
      <c r="CM226" s="164"/>
      <c r="CN226" s="164"/>
      <c r="CO226" s="164"/>
      <c r="CP226" s="164"/>
      <c r="CQ226" s="164"/>
      <c r="CR226" s="164"/>
      <c r="CS226" s="164"/>
      <c r="CT226" s="164"/>
      <c r="CU226" s="164"/>
      <c r="CV226" s="164"/>
      <c r="CW226" s="164"/>
      <c r="CX226" s="164"/>
      <c r="CY226" s="164"/>
      <c r="CZ226" s="164"/>
    </row>
    <row r="227" spans="79:104" ht="12.75">
      <c r="CA227" s="164"/>
      <c r="CB227" s="164"/>
      <c r="CC227" s="164"/>
      <c r="CD227" s="162"/>
      <c r="CE227" s="164"/>
      <c r="CF227" s="164"/>
      <c r="CG227" s="164"/>
      <c r="CH227" s="164"/>
      <c r="CI227" s="164"/>
      <c r="CJ227" s="164"/>
      <c r="CK227" s="164"/>
      <c r="CL227" s="164"/>
      <c r="CM227" s="164"/>
      <c r="CN227" s="164"/>
      <c r="CO227" s="164"/>
      <c r="CP227" s="164"/>
      <c r="CQ227" s="164"/>
      <c r="CR227" s="164"/>
      <c r="CS227" s="164"/>
      <c r="CT227" s="164"/>
      <c r="CU227" s="164"/>
      <c r="CV227" s="164"/>
      <c r="CW227" s="164"/>
      <c r="CX227" s="164"/>
      <c r="CY227" s="164"/>
      <c r="CZ227" s="164"/>
    </row>
    <row r="228" spans="79:104" ht="12.75">
      <c r="CA228" s="164"/>
      <c r="CB228" s="164"/>
      <c r="CC228" s="164"/>
      <c r="CD228" s="162"/>
      <c r="CE228" s="164"/>
      <c r="CF228" s="164"/>
      <c r="CG228" s="164"/>
      <c r="CH228" s="164"/>
      <c r="CI228" s="164"/>
      <c r="CJ228" s="164"/>
      <c r="CK228" s="164"/>
      <c r="CL228" s="164"/>
      <c r="CM228" s="164"/>
      <c r="CN228" s="164"/>
      <c r="CO228" s="164"/>
      <c r="CP228" s="164"/>
      <c r="CQ228" s="164"/>
      <c r="CR228" s="164"/>
      <c r="CS228" s="164"/>
      <c r="CT228" s="164"/>
      <c r="CU228" s="164"/>
      <c r="CV228" s="164"/>
      <c r="CW228" s="164"/>
      <c r="CX228" s="164"/>
      <c r="CY228" s="164"/>
      <c r="CZ228" s="164"/>
    </row>
    <row r="229" spans="79:104" ht="12.75">
      <c r="CA229" s="164"/>
      <c r="CB229" s="164"/>
      <c r="CC229" s="164"/>
      <c r="CD229" s="162"/>
      <c r="CE229" s="164"/>
      <c r="CF229" s="164"/>
      <c r="CG229" s="164"/>
      <c r="CH229" s="164"/>
      <c r="CI229" s="164"/>
      <c r="CJ229" s="164"/>
      <c r="CK229" s="164"/>
      <c r="CL229" s="164"/>
      <c r="CM229" s="164"/>
      <c r="CN229" s="164"/>
      <c r="CO229" s="164"/>
      <c r="CP229" s="164"/>
      <c r="CQ229" s="164"/>
      <c r="CR229" s="164"/>
      <c r="CS229" s="164"/>
      <c r="CT229" s="164"/>
      <c r="CU229" s="164"/>
      <c r="CV229" s="164"/>
      <c r="CW229" s="164"/>
      <c r="CX229" s="164"/>
      <c r="CY229" s="164"/>
      <c r="CZ229" s="164"/>
    </row>
    <row r="230" spans="79:104" ht="12.75">
      <c r="CA230" s="164"/>
      <c r="CB230" s="164"/>
      <c r="CC230" s="164"/>
      <c r="CD230" s="162"/>
      <c r="CE230" s="164"/>
      <c r="CF230" s="164"/>
      <c r="CG230" s="164"/>
      <c r="CH230" s="164"/>
      <c r="CI230" s="164"/>
      <c r="CJ230" s="164"/>
      <c r="CK230" s="164"/>
      <c r="CL230" s="164"/>
      <c r="CM230" s="164"/>
      <c r="CN230" s="164"/>
      <c r="CO230" s="164"/>
      <c r="CP230" s="164"/>
      <c r="CQ230" s="164"/>
      <c r="CR230" s="164"/>
      <c r="CS230" s="164"/>
      <c r="CT230" s="164"/>
      <c r="CU230" s="164"/>
      <c r="CV230" s="164"/>
      <c r="CW230" s="164"/>
      <c r="CX230" s="164"/>
      <c r="CY230" s="164"/>
      <c r="CZ230" s="164"/>
    </row>
    <row r="231" spans="79:104" ht="12.75">
      <c r="CA231" s="164"/>
      <c r="CB231" s="164"/>
      <c r="CC231" s="164"/>
      <c r="CD231" s="162"/>
      <c r="CE231" s="164"/>
      <c r="CF231" s="164"/>
      <c r="CG231" s="164"/>
      <c r="CH231" s="164"/>
      <c r="CI231" s="164"/>
      <c r="CJ231" s="164"/>
      <c r="CK231" s="164"/>
      <c r="CL231" s="164"/>
      <c r="CM231" s="164"/>
      <c r="CN231" s="164"/>
      <c r="CO231" s="164"/>
      <c r="CP231" s="164"/>
      <c r="CQ231" s="164"/>
      <c r="CR231" s="164"/>
      <c r="CS231" s="164"/>
      <c r="CT231" s="164"/>
      <c r="CU231" s="164"/>
      <c r="CV231" s="164"/>
      <c r="CW231" s="164"/>
      <c r="CX231" s="164"/>
      <c r="CY231" s="164"/>
      <c r="CZ231" s="164"/>
    </row>
    <row r="232" spans="79:104" ht="12.75">
      <c r="CA232" s="164"/>
      <c r="CB232" s="164"/>
      <c r="CC232" s="164"/>
      <c r="CD232" s="162"/>
      <c r="CE232" s="164"/>
      <c r="CF232" s="164"/>
      <c r="CG232" s="164"/>
      <c r="CH232" s="164"/>
      <c r="CI232" s="164"/>
      <c r="CJ232" s="164"/>
      <c r="CK232" s="164"/>
      <c r="CL232" s="164"/>
      <c r="CM232" s="164"/>
      <c r="CN232" s="164"/>
      <c r="CO232" s="164"/>
      <c r="CP232" s="164"/>
      <c r="CQ232" s="164"/>
      <c r="CR232" s="164"/>
      <c r="CS232" s="164"/>
      <c r="CT232" s="164"/>
      <c r="CU232" s="164"/>
      <c r="CV232" s="164"/>
      <c r="CW232" s="164"/>
      <c r="CX232" s="164"/>
      <c r="CY232" s="164"/>
      <c r="CZ232" s="164"/>
    </row>
    <row r="233" spans="79:104" ht="12.75">
      <c r="CA233" s="164"/>
      <c r="CB233" s="164"/>
      <c r="CC233" s="164"/>
      <c r="CD233" s="162"/>
      <c r="CE233" s="164"/>
      <c r="CF233" s="164"/>
      <c r="CG233" s="164"/>
      <c r="CH233" s="164"/>
      <c r="CI233" s="164"/>
      <c r="CJ233" s="164"/>
      <c r="CK233" s="164"/>
      <c r="CL233" s="164"/>
      <c r="CM233" s="164"/>
      <c r="CN233" s="164"/>
      <c r="CO233" s="164"/>
      <c r="CP233" s="164"/>
      <c r="CQ233" s="164"/>
      <c r="CR233" s="164"/>
      <c r="CS233" s="164"/>
      <c r="CT233" s="164"/>
      <c r="CU233" s="164"/>
      <c r="CV233" s="164"/>
      <c r="CW233" s="164"/>
      <c r="CX233" s="164"/>
      <c r="CY233" s="164"/>
      <c r="CZ233" s="164"/>
    </row>
    <row r="234" spans="79:104" ht="12.75">
      <c r="CA234" s="164"/>
      <c r="CB234" s="164"/>
      <c r="CC234" s="164"/>
      <c r="CD234" s="162"/>
      <c r="CE234" s="164"/>
      <c r="CF234" s="164"/>
      <c r="CG234" s="164"/>
      <c r="CH234" s="164"/>
      <c r="CI234" s="164"/>
      <c r="CJ234" s="164"/>
      <c r="CK234" s="164"/>
      <c r="CL234" s="164"/>
      <c r="CM234" s="164"/>
      <c r="CN234" s="164"/>
      <c r="CO234" s="164"/>
      <c r="CP234" s="164"/>
      <c r="CQ234" s="164"/>
      <c r="CR234" s="164"/>
      <c r="CS234" s="164"/>
      <c r="CT234" s="164"/>
      <c r="CU234" s="164"/>
      <c r="CV234" s="164"/>
      <c r="CW234" s="164"/>
      <c r="CX234" s="164"/>
      <c r="CY234" s="164"/>
      <c r="CZ234" s="164"/>
    </row>
    <row r="235" spans="79:104" ht="12.75">
      <c r="CA235" s="164"/>
      <c r="CB235" s="164"/>
      <c r="CC235" s="164"/>
      <c r="CD235" s="162"/>
      <c r="CE235" s="164"/>
      <c r="CF235" s="164"/>
      <c r="CG235" s="164"/>
      <c r="CH235" s="164"/>
      <c r="CI235" s="164"/>
      <c r="CJ235" s="164"/>
      <c r="CK235" s="164"/>
      <c r="CL235" s="164"/>
      <c r="CM235" s="164"/>
      <c r="CN235" s="164"/>
      <c r="CO235" s="164"/>
      <c r="CP235" s="164"/>
      <c r="CQ235" s="164"/>
      <c r="CR235" s="164"/>
      <c r="CS235" s="164"/>
      <c r="CT235" s="164"/>
      <c r="CU235" s="164"/>
      <c r="CV235" s="164"/>
      <c r="CW235" s="164"/>
      <c r="CX235" s="164"/>
      <c r="CY235" s="164"/>
      <c r="CZ235" s="164"/>
    </row>
    <row r="236" spans="79:104" ht="12.75">
      <c r="CA236" s="164"/>
      <c r="CB236" s="164"/>
      <c r="CC236" s="164"/>
      <c r="CD236" s="162"/>
      <c r="CE236" s="164"/>
      <c r="CF236" s="164"/>
      <c r="CG236" s="164"/>
      <c r="CH236" s="164"/>
      <c r="CI236" s="164"/>
      <c r="CJ236" s="164"/>
      <c r="CK236" s="164"/>
      <c r="CL236" s="164"/>
      <c r="CM236" s="164"/>
      <c r="CN236" s="164"/>
      <c r="CO236" s="164"/>
      <c r="CP236" s="164"/>
      <c r="CQ236" s="164"/>
      <c r="CR236" s="164"/>
      <c r="CS236" s="164"/>
      <c r="CT236" s="164"/>
      <c r="CU236" s="164"/>
      <c r="CV236" s="164"/>
      <c r="CW236" s="164"/>
      <c r="CX236" s="164"/>
      <c r="CY236" s="164"/>
      <c r="CZ236" s="164"/>
    </row>
  </sheetData>
  <sheetProtection password="D5F2" sheet="1" objects="1" scenarios="1"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Q239"/>
  <sheetViews>
    <sheetView zoomScale="75" zoomScaleNormal="75" zoomScalePageLayoutView="0" workbookViewId="0" topLeftCell="A1">
      <selection activeCell="C11" sqref="C11"/>
    </sheetView>
  </sheetViews>
  <sheetFormatPr defaultColWidth="11.421875" defaultRowHeight="12.75"/>
  <cols>
    <col min="1" max="1" width="2.28125" style="1" customWidth="1"/>
    <col min="2" max="2" width="13.7109375" style="1" customWidth="1"/>
    <col min="3" max="3" width="9.28125" style="1" customWidth="1"/>
    <col min="4" max="4" width="13.00390625" style="1" customWidth="1"/>
    <col min="5" max="5" width="12.140625" style="1" customWidth="1"/>
    <col min="6" max="6" width="11.7109375" style="1" customWidth="1"/>
    <col min="7" max="7" width="12.140625" style="1" customWidth="1"/>
    <col min="8" max="8" width="13.57421875" style="1" customWidth="1"/>
    <col min="9" max="9" width="4.421875" style="1" customWidth="1"/>
    <col min="10" max="10" width="12.28125" style="1" customWidth="1"/>
    <col min="11" max="11" width="13.28125" style="1" customWidth="1"/>
    <col min="12" max="12" width="9.00390625" style="1" customWidth="1"/>
    <col min="13" max="13" width="10.421875" style="1" customWidth="1"/>
    <col min="14" max="14" width="8.140625" style="1" customWidth="1"/>
    <col min="15" max="15" width="9.140625" style="1" customWidth="1"/>
    <col min="16" max="16" width="8.8515625" style="1" customWidth="1"/>
    <col min="17" max="17" width="2.421875" style="1" customWidth="1"/>
    <col min="18" max="18" width="9.8515625" style="1" customWidth="1"/>
    <col min="19" max="19" width="9.57421875" style="1" customWidth="1"/>
    <col min="20" max="20" width="8.140625" style="1" customWidth="1"/>
    <col min="21" max="21" width="3.00390625" style="1" customWidth="1"/>
    <col min="22" max="22" width="10.28125" style="1" customWidth="1"/>
    <col min="23" max="23" width="11.421875" style="1" customWidth="1"/>
    <col min="24" max="24" width="3.421875" style="607" customWidth="1"/>
    <col min="25" max="35" width="8.7109375" style="1" customWidth="1"/>
    <col min="36" max="36" width="6.8515625" style="1" customWidth="1"/>
    <col min="37" max="37" width="7.8515625" style="1" customWidth="1"/>
    <col min="38" max="38" width="7.28125" style="1" customWidth="1"/>
    <col min="39" max="39" width="4.421875" style="3" customWidth="1"/>
    <col min="40" max="40" width="7.28125" style="1" customWidth="1"/>
    <col min="41" max="41" width="6.28125" style="1" customWidth="1"/>
    <col min="42" max="44" width="11.421875" style="1" customWidth="1"/>
    <col min="45" max="45" width="11.421875" style="3" customWidth="1"/>
    <col min="46" max="50" width="11.421875" style="1" customWidth="1"/>
    <col min="51" max="51" width="7.421875" style="1" customWidth="1"/>
    <col min="52" max="52" width="7.140625" style="1" customWidth="1"/>
    <col min="53" max="53" width="7.00390625" style="1" customWidth="1"/>
    <col min="54" max="54" width="14.8515625" style="1" customWidth="1"/>
    <col min="55" max="55" width="7.28125" style="1" customWidth="1"/>
    <col min="56" max="56" width="2.8515625" style="1" customWidth="1"/>
    <col min="57" max="96" width="11.421875" style="1" customWidth="1"/>
    <col min="97" max="100" width="11.421875" style="4" customWidth="1"/>
    <col min="101" max="136" width="11.421875" style="1" customWidth="1"/>
    <col min="137" max="137" width="11.421875" style="125" customWidth="1"/>
    <col min="138" max="145" width="9.140625" style="133" customWidth="1"/>
    <col min="146" max="146" width="8.28125" style="133" customWidth="1"/>
    <col min="147" max="147" width="8.7109375" style="133" customWidth="1"/>
    <col min="148" max="148" width="8.421875" style="133" customWidth="1"/>
    <col min="149" max="149" width="2.7109375" style="176" customWidth="1"/>
    <col min="150" max="157" width="2.7109375" style="133" customWidth="1"/>
    <col min="158" max="159" width="5.00390625" style="133" customWidth="1"/>
    <col min="160" max="160" width="3.8515625" style="133" customWidth="1"/>
    <col min="161" max="161" width="28.00390625" style="133" customWidth="1"/>
    <col min="162" max="167" width="9.140625" style="133" customWidth="1"/>
    <col min="168" max="168" width="8.8515625" style="133" customWidth="1"/>
    <col min="169" max="169" width="10.7109375" style="133" customWidth="1"/>
    <col min="170" max="170" width="4.7109375" style="133" customWidth="1"/>
    <col min="171" max="172" width="9.140625" style="133" customWidth="1"/>
    <col min="173" max="16384" width="11.421875" style="1" customWidth="1"/>
  </cols>
  <sheetData>
    <row r="1" spans="1:173" ht="12.7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52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5"/>
      <c r="AL1" s="253"/>
      <c r="AM1" s="253"/>
      <c r="AN1" s="69"/>
      <c r="AO1" s="69"/>
      <c r="AP1" s="253"/>
      <c r="AQ1" s="244"/>
      <c r="AR1" s="244"/>
      <c r="AS1" s="244"/>
      <c r="AT1" s="244"/>
      <c r="AU1" s="244"/>
      <c r="AV1" s="244"/>
      <c r="AW1" s="244"/>
      <c r="AX1" s="244"/>
      <c r="AY1" s="244"/>
      <c r="AZ1" s="253"/>
      <c r="BA1" s="253"/>
      <c r="BB1" s="253"/>
      <c r="BC1" s="239"/>
      <c r="BD1" s="235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44"/>
      <c r="CT1" s="244"/>
      <c r="CU1" s="244"/>
      <c r="CV1" s="244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H1" s="126">
        <v>0</v>
      </c>
      <c r="EI1" s="126">
        <v>1</v>
      </c>
      <c r="EJ1" s="127">
        <v>16.9</v>
      </c>
      <c r="EK1" s="128">
        <v>0</v>
      </c>
      <c r="EL1" s="127">
        <v>0</v>
      </c>
      <c r="EM1" s="129">
        <f>EJ1*EK1*0.01*10</f>
        <v>0</v>
      </c>
      <c r="EN1" s="129">
        <f>EL1-EM1</f>
        <v>0</v>
      </c>
      <c r="EO1" s="129">
        <v>0</v>
      </c>
      <c r="EP1" s="130">
        <f>IF(EN1&lt;0,1,0)</f>
        <v>0</v>
      </c>
      <c r="EQ1" s="130">
        <f aca="true" t="shared" si="0" ref="EQ1:EY1">IF(AND(ES14=1,EP1=0),1,0)</f>
        <v>0</v>
      </c>
      <c r="ER1" s="130">
        <f t="shared" si="0"/>
        <v>0</v>
      </c>
      <c r="ES1" s="130">
        <f t="shared" si="0"/>
        <v>0</v>
      </c>
      <c r="ET1" s="130">
        <f t="shared" si="0"/>
        <v>0</v>
      </c>
      <c r="EU1" s="130">
        <f t="shared" si="0"/>
        <v>0</v>
      </c>
      <c r="EV1" s="130">
        <f t="shared" si="0"/>
        <v>0</v>
      </c>
      <c r="EW1" s="130">
        <f t="shared" si="0"/>
        <v>0</v>
      </c>
      <c r="EX1" s="130">
        <f t="shared" si="0"/>
        <v>0</v>
      </c>
      <c r="EY1" s="130">
        <f t="shared" si="0"/>
        <v>0</v>
      </c>
      <c r="EZ1" s="130">
        <f>IF(AND(FD14=1,EY1=0),1,0)</f>
        <v>0</v>
      </c>
      <c r="FA1" s="130">
        <f>IF(AND(FB14=1,EZ1=0),1,0)</f>
        <v>0</v>
      </c>
      <c r="FB1" s="130">
        <v>0</v>
      </c>
      <c r="FC1" s="130"/>
      <c r="FD1" s="130">
        <f>IF(OR(EP1=1,EQ1=1,ER1=1,ES1=1,ET1=1,EU1=1,EV1=1,EW1=1,EX1=1,EY1=1,EZ1=1,FA1=1),1,0)</f>
        <v>0</v>
      </c>
      <c r="FE1" s="130">
        <f>IF(FD1=0,$EP$11,IF(EN1&lt;0,$EP$11*EXP(FF1/$EP$11),IF(EN1&gt;0,#REF!+ABS(EN1))))</f>
        <v>100</v>
      </c>
      <c r="FF1" s="129">
        <f>E17</f>
        <v>0</v>
      </c>
      <c r="FG1" s="131">
        <f>IF(FE1&gt;$EP$11,$EP$11,FE1)</f>
        <v>100</v>
      </c>
      <c r="FH1" s="131">
        <f>FG1-$EP$11</f>
        <v>0</v>
      </c>
      <c r="FI1" s="129">
        <f>IF(EN1&gt;0,EM1,EL1+ABS(FH1))</f>
        <v>0</v>
      </c>
      <c r="FJ1" s="129">
        <f>EM1-FI1</f>
        <v>0</v>
      </c>
      <c r="FK1" s="129">
        <f>IF(FG1&lt;$EP$11,0,IF(FG1=$EP$11,EN1-FH1))</f>
        <v>0</v>
      </c>
      <c r="FL1" s="132"/>
      <c r="FM1" s="129"/>
      <c r="FN1" s="132"/>
      <c r="FO1" s="127" t="s">
        <v>120</v>
      </c>
      <c r="FQ1" s="3"/>
    </row>
    <row r="2" spans="1:173" ht="20.25">
      <c r="A2" s="239"/>
      <c r="B2" s="407" t="s">
        <v>151</v>
      </c>
      <c r="C2" s="407"/>
      <c r="D2" s="377"/>
      <c r="E2" s="378"/>
      <c r="F2" s="379"/>
      <c r="G2" s="380"/>
      <c r="H2" s="246"/>
      <c r="I2" s="246"/>
      <c r="J2" s="368" t="s">
        <v>1</v>
      </c>
      <c r="K2" s="365"/>
      <c r="L2" s="365"/>
      <c r="M2" s="235"/>
      <c r="N2" s="253"/>
      <c r="O2" s="235"/>
      <c r="P2" s="69"/>
      <c r="Q2" s="69"/>
      <c r="R2" s="69"/>
      <c r="S2" s="69"/>
      <c r="T2" s="69"/>
      <c r="U2" s="69"/>
      <c r="V2" s="69"/>
      <c r="W2" s="69"/>
      <c r="X2" s="252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239"/>
      <c r="AK2" s="69"/>
      <c r="AL2" s="253"/>
      <c r="AM2" s="253"/>
      <c r="AN2" s="69"/>
      <c r="AO2" s="69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53"/>
      <c r="BA2" s="253"/>
      <c r="BB2" s="253"/>
      <c r="BC2" s="239"/>
      <c r="BD2" s="235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44"/>
      <c r="CT2" s="244"/>
      <c r="CU2" s="244"/>
      <c r="CV2" s="244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M2" s="132"/>
      <c r="EN2" s="132"/>
      <c r="EO2" s="132"/>
      <c r="EP2" s="129"/>
      <c r="EQ2" s="129"/>
      <c r="ER2" s="129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29">
        <f>IF(E17&lt;&gt;"-",E17,IF(FD2=0,0,IF(EN2&lt;0,EN2,IF(EN2&gt;0,$EP$11*LN(FG2/$EP$11)))))</f>
        <v>0</v>
      </c>
      <c r="FG2" s="132"/>
      <c r="FH2" s="132"/>
      <c r="FI2" s="132"/>
      <c r="FJ2" s="132"/>
      <c r="FK2" s="132"/>
      <c r="FL2" s="129"/>
      <c r="FM2" s="129"/>
      <c r="FN2" s="132"/>
      <c r="FQ2" s="3"/>
    </row>
    <row r="3" spans="1:173" ht="15">
      <c r="A3" s="239"/>
      <c r="B3" s="382"/>
      <c r="C3" s="382"/>
      <c r="D3" s="385" t="s">
        <v>122</v>
      </c>
      <c r="E3" s="385"/>
      <c r="F3" s="352"/>
      <c r="G3" s="351"/>
      <c r="H3" s="247"/>
      <c r="I3" s="247"/>
      <c r="J3" s="369" t="s">
        <v>2</v>
      </c>
      <c r="K3" s="366"/>
      <c r="L3" s="366"/>
      <c r="M3" s="235"/>
      <c r="N3" s="253"/>
      <c r="O3" s="235"/>
      <c r="P3" s="69"/>
      <c r="Q3" s="69"/>
      <c r="R3" s="69"/>
      <c r="S3" s="69"/>
      <c r="T3" s="69"/>
      <c r="U3" s="69"/>
      <c r="V3" s="69"/>
      <c r="W3" s="69"/>
      <c r="X3" s="252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239"/>
      <c r="AK3" s="69"/>
      <c r="AL3" s="253"/>
      <c r="AM3" s="253"/>
      <c r="AN3" s="69"/>
      <c r="AO3" s="69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53"/>
      <c r="BA3" s="253"/>
      <c r="BB3" s="253"/>
      <c r="BC3" s="239"/>
      <c r="BD3" s="235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44"/>
      <c r="CT3" s="244"/>
      <c r="CU3" s="244"/>
      <c r="CV3" s="244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M3" s="132"/>
      <c r="EN3" s="132"/>
      <c r="EO3" s="132"/>
      <c r="EP3" s="129"/>
      <c r="EQ3" s="129"/>
      <c r="ER3" s="129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2"/>
      <c r="FG3" s="132"/>
      <c r="FH3" s="132"/>
      <c r="FI3" s="132"/>
      <c r="FJ3" s="132"/>
      <c r="FK3" s="132"/>
      <c r="FL3" s="129"/>
      <c r="FM3" s="129"/>
      <c r="FN3" s="132"/>
      <c r="FQ3" s="3"/>
    </row>
    <row r="4" spans="1:173" ht="15.75">
      <c r="A4" s="239"/>
      <c r="B4" s="383"/>
      <c r="C4" s="383"/>
      <c r="D4" s="352" t="s">
        <v>123</v>
      </c>
      <c r="E4" s="352"/>
      <c r="F4" s="352"/>
      <c r="G4" s="351"/>
      <c r="H4" s="247"/>
      <c r="I4" s="247"/>
      <c r="J4" s="370" t="s">
        <v>3</v>
      </c>
      <c r="K4" s="366"/>
      <c r="L4" s="366"/>
      <c r="M4" s="235"/>
      <c r="N4" s="253"/>
      <c r="O4" s="235"/>
      <c r="P4" s="69"/>
      <c r="Q4" s="69"/>
      <c r="R4" s="69"/>
      <c r="S4" s="69"/>
      <c r="T4" s="69"/>
      <c r="U4" s="69"/>
      <c r="V4" s="69"/>
      <c r="W4" s="69"/>
      <c r="X4" s="252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239"/>
      <c r="AK4" s="69"/>
      <c r="AL4" s="253"/>
      <c r="AM4" s="253"/>
      <c r="AN4" s="69"/>
      <c r="AO4" s="69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53"/>
      <c r="BA4" s="253"/>
      <c r="BB4" s="253"/>
      <c r="BC4" s="239"/>
      <c r="BD4" s="235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44"/>
      <c r="CT4" s="244"/>
      <c r="CU4" s="244"/>
      <c r="CV4" s="244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H4" s="134" t="s">
        <v>125</v>
      </c>
      <c r="EM4" s="132"/>
      <c r="EN4" s="132"/>
      <c r="EO4" s="132"/>
      <c r="EP4" s="129"/>
      <c r="EQ4" s="129"/>
      <c r="ER4" s="129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2"/>
      <c r="FG4" s="132"/>
      <c r="FH4" s="132"/>
      <c r="FI4" s="132"/>
      <c r="FJ4" s="132"/>
      <c r="FK4" s="132"/>
      <c r="FL4" s="129"/>
      <c r="FM4" s="129"/>
      <c r="FN4" s="132"/>
      <c r="FQ4" s="3"/>
    </row>
    <row r="5" spans="1:173" ht="15.75">
      <c r="A5" s="239"/>
      <c r="B5" s="383"/>
      <c r="C5" s="383"/>
      <c r="D5" s="352" t="s">
        <v>152</v>
      </c>
      <c r="E5" s="352"/>
      <c r="F5" s="352"/>
      <c r="G5" s="351"/>
      <c r="H5" s="247"/>
      <c r="I5" s="247"/>
      <c r="J5" s="371" t="s">
        <v>88</v>
      </c>
      <c r="K5" s="367"/>
      <c r="L5" s="367"/>
      <c r="M5" s="235"/>
      <c r="N5" s="253"/>
      <c r="O5" s="235"/>
      <c r="P5" s="69"/>
      <c r="Q5" s="69"/>
      <c r="R5" s="69"/>
      <c r="S5" s="69"/>
      <c r="T5" s="69"/>
      <c r="U5" s="69"/>
      <c r="V5" s="69"/>
      <c r="W5" s="69"/>
      <c r="X5" s="252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239"/>
      <c r="AK5" s="69"/>
      <c r="AL5" s="253"/>
      <c r="AM5" s="253"/>
      <c r="AN5" s="69"/>
      <c r="AO5" s="69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53"/>
      <c r="BA5" s="253"/>
      <c r="BB5" s="253"/>
      <c r="BC5" s="239"/>
      <c r="BD5" s="235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44"/>
      <c r="CT5" s="244"/>
      <c r="CU5" s="244"/>
      <c r="CV5" s="244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H5" s="134"/>
      <c r="EM5" s="132"/>
      <c r="EN5" s="132"/>
      <c r="EO5" s="132"/>
      <c r="EP5" s="129"/>
      <c r="EQ5" s="129"/>
      <c r="ER5" s="129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2"/>
      <c r="FG5" s="132"/>
      <c r="FH5" s="132"/>
      <c r="FI5" s="132"/>
      <c r="FJ5" s="132"/>
      <c r="FK5" s="132"/>
      <c r="FL5" s="129"/>
      <c r="FM5" s="129"/>
      <c r="FN5" s="132"/>
      <c r="FQ5" s="3"/>
    </row>
    <row r="6" spans="1:173" ht="9.75" customHeight="1">
      <c r="A6" s="239"/>
      <c r="B6" s="383"/>
      <c r="C6" s="383"/>
      <c r="D6" s="352"/>
      <c r="E6" s="352"/>
      <c r="F6" s="352"/>
      <c r="G6" s="351"/>
      <c r="H6" s="247"/>
      <c r="I6" s="247"/>
      <c r="J6" s="674"/>
      <c r="K6" s="461"/>
      <c r="L6" s="461"/>
      <c r="M6" s="235"/>
      <c r="N6" s="253"/>
      <c r="O6" s="235"/>
      <c r="P6" s="69"/>
      <c r="Q6" s="69"/>
      <c r="R6" s="69"/>
      <c r="S6" s="69"/>
      <c r="T6" s="69"/>
      <c r="U6" s="69"/>
      <c r="V6" s="69"/>
      <c r="W6" s="69"/>
      <c r="X6" s="252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239"/>
      <c r="AK6" s="69"/>
      <c r="AL6" s="253"/>
      <c r="AM6" s="253"/>
      <c r="AN6" s="69"/>
      <c r="AO6" s="69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53"/>
      <c r="BA6" s="253"/>
      <c r="BB6" s="253"/>
      <c r="BC6" s="239"/>
      <c r="BD6" s="235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44"/>
      <c r="CT6" s="244"/>
      <c r="CU6" s="244"/>
      <c r="CV6" s="244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H6" s="134"/>
      <c r="EM6" s="132"/>
      <c r="EN6" s="132"/>
      <c r="EO6" s="132"/>
      <c r="EP6" s="129"/>
      <c r="EQ6" s="129"/>
      <c r="ER6" s="129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2"/>
      <c r="FG6" s="132"/>
      <c r="FH6" s="132"/>
      <c r="FI6" s="132"/>
      <c r="FJ6" s="132"/>
      <c r="FK6" s="132"/>
      <c r="FL6" s="129"/>
      <c r="FM6" s="129"/>
      <c r="FN6" s="132"/>
      <c r="FQ6" s="3"/>
    </row>
    <row r="7" spans="1:173" ht="15">
      <c r="A7" s="239"/>
      <c r="B7" s="357" t="s">
        <v>153</v>
      </c>
      <c r="C7" s="385"/>
      <c r="D7" s="357"/>
      <c r="E7" s="357" t="s">
        <v>5</v>
      </c>
      <c r="F7" s="357"/>
      <c r="G7" s="357"/>
      <c r="H7" s="248"/>
      <c r="I7" s="248"/>
      <c r="J7" s="675" t="s">
        <v>154</v>
      </c>
      <c r="K7" s="676" t="s">
        <v>155</v>
      </c>
      <c r="L7" s="676"/>
      <c r="M7" s="677"/>
      <c r="N7" s="239"/>
      <c r="O7" s="235"/>
      <c r="P7" s="69"/>
      <c r="Q7" s="69"/>
      <c r="R7" s="69"/>
      <c r="S7" s="69"/>
      <c r="T7" s="69"/>
      <c r="U7" s="69"/>
      <c r="V7" s="69"/>
      <c r="W7" s="69"/>
      <c r="X7" s="252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239"/>
      <c r="AK7" s="69"/>
      <c r="AL7" s="253"/>
      <c r="AM7" s="253"/>
      <c r="AN7" s="69"/>
      <c r="AO7" s="69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53"/>
      <c r="BA7" s="253"/>
      <c r="BB7" s="253"/>
      <c r="BC7" s="239"/>
      <c r="BD7" s="235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44"/>
      <c r="CT7" s="244"/>
      <c r="CU7" s="244"/>
      <c r="CV7" s="244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M7" s="132"/>
      <c r="EN7" s="132"/>
      <c r="EO7" s="132"/>
      <c r="EP7" s="129"/>
      <c r="EQ7" s="129"/>
      <c r="ER7" s="129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2"/>
      <c r="FG7" s="132"/>
      <c r="FH7" s="132"/>
      <c r="FI7" s="132"/>
      <c r="FJ7" s="132"/>
      <c r="FK7" s="132"/>
      <c r="FL7" s="129"/>
      <c r="FM7" s="129"/>
      <c r="FN7" s="132"/>
      <c r="FQ7" s="3"/>
    </row>
    <row r="8" spans="1:173" ht="15" customHeight="1">
      <c r="A8" s="239"/>
      <c r="B8" s="351"/>
      <c r="C8" s="351"/>
      <c r="D8" s="683" t="s">
        <v>9</v>
      </c>
      <c r="E8" s="351"/>
      <c r="F8" s="351"/>
      <c r="G8" s="387" t="s">
        <v>10</v>
      </c>
      <c r="H8" s="247"/>
      <c r="I8" s="247"/>
      <c r="J8" s="678"/>
      <c r="K8" s="679" t="s">
        <v>156</v>
      </c>
      <c r="L8" s="680"/>
      <c r="M8" s="681"/>
      <c r="O8" s="235"/>
      <c r="P8" s="69"/>
      <c r="Q8" s="69"/>
      <c r="R8" s="69"/>
      <c r="S8" s="69"/>
      <c r="T8" s="69"/>
      <c r="U8" s="69"/>
      <c r="V8" s="69"/>
      <c r="W8" s="69"/>
      <c r="X8" s="252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239"/>
      <c r="AK8" s="69"/>
      <c r="AL8" s="253"/>
      <c r="AM8" s="253"/>
      <c r="AN8" s="69"/>
      <c r="AO8" s="69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53"/>
      <c r="BA8" s="253"/>
      <c r="BB8" s="253"/>
      <c r="BC8" s="239"/>
      <c r="BD8" s="235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44"/>
      <c r="CT8" s="244"/>
      <c r="CU8" s="244"/>
      <c r="CV8" s="244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M8" s="132"/>
      <c r="EN8" s="132"/>
      <c r="EO8" s="132"/>
      <c r="EP8" s="129"/>
      <c r="EQ8" s="129"/>
      <c r="ER8" s="129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2"/>
      <c r="FG8" s="132"/>
      <c r="FH8" s="132"/>
      <c r="FI8" s="132"/>
      <c r="FJ8" s="132"/>
      <c r="FK8" s="132"/>
      <c r="FL8" s="129"/>
      <c r="FM8" s="129"/>
      <c r="FN8" s="132"/>
      <c r="FQ8" s="3"/>
    </row>
    <row r="9" spans="1:173" ht="6" customHeight="1">
      <c r="A9" s="239"/>
      <c r="B9" s="235"/>
      <c r="C9" s="235"/>
      <c r="D9" s="235"/>
      <c r="E9" s="235"/>
      <c r="F9" s="235"/>
      <c r="G9" s="235"/>
      <c r="H9" s="247"/>
      <c r="I9" s="247"/>
      <c r="J9" s="247"/>
      <c r="K9" s="247"/>
      <c r="L9" s="247"/>
      <c r="M9" s="247"/>
      <c r="N9" s="235"/>
      <c r="O9" s="235"/>
      <c r="P9" s="69"/>
      <c r="Q9" s="69"/>
      <c r="R9" s="69"/>
      <c r="S9" s="69"/>
      <c r="T9" s="235"/>
      <c r="U9" s="235"/>
      <c r="V9" s="235"/>
      <c r="W9" s="235"/>
      <c r="X9" s="252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44"/>
      <c r="CT9" s="244"/>
      <c r="CU9" s="244"/>
      <c r="CV9" s="244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Q9" s="3"/>
    </row>
    <row r="10" spans="1:173" ht="4.5" customHeight="1">
      <c r="A10" s="239"/>
      <c r="B10" s="239"/>
      <c r="C10" s="239"/>
      <c r="D10" s="239"/>
      <c r="E10" s="239"/>
      <c r="F10" s="239"/>
      <c r="G10" s="239"/>
      <c r="H10" s="247"/>
      <c r="I10" s="247"/>
      <c r="J10" s="247"/>
      <c r="K10" s="247"/>
      <c r="L10" s="247"/>
      <c r="M10" s="247"/>
      <c r="N10" s="253"/>
      <c r="O10" s="235"/>
      <c r="P10" s="69"/>
      <c r="Q10" s="69"/>
      <c r="R10" s="69"/>
      <c r="S10" s="69"/>
      <c r="T10" s="235"/>
      <c r="U10" s="235"/>
      <c r="V10" s="235"/>
      <c r="W10" s="235"/>
      <c r="X10" s="252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44"/>
      <c r="CT10" s="244"/>
      <c r="CU10" s="244"/>
      <c r="CV10" s="244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Q10" s="3"/>
    </row>
    <row r="11" spans="1:173" ht="15.75" customHeight="1">
      <c r="A11" s="239"/>
      <c r="B11" s="428" t="s">
        <v>11</v>
      </c>
      <c r="C11" s="466" t="s">
        <v>128</v>
      </c>
      <c r="D11" s="466"/>
      <c r="E11" s="467"/>
      <c r="G11" s="428" t="s">
        <v>13</v>
      </c>
      <c r="H11" s="441">
        <v>-21.19</v>
      </c>
      <c r="I11" s="660"/>
      <c r="J11" s="570">
        <f>IF(OR(H11&lt;-90,H11&gt;90),"ERRO! ( -90 &lt; LAT &lt; +90)","")</f>
      </c>
      <c r="K11" s="239"/>
      <c r="L11" s="239"/>
      <c r="M11" s="239"/>
      <c r="N11" s="573">
        <f>IF(OR(H11&lt;-90,H11&gt;90),0,H11)</f>
        <v>-21.19</v>
      </c>
      <c r="O11" s="239"/>
      <c r="P11" s="303"/>
      <c r="Q11" s="303"/>
      <c r="R11" s="303"/>
      <c r="S11" s="69"/>
      <c r="T11" s="239"/>
      <c r="U11" s="239"/>
      <c r="V11" s="239"/>
      <c r="W11" s="239"/>
      <c r="X11" s="604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304"/>
      <c r="AK11" s="245"/>
      <c r="AL11" s="253"/>
      <c r="AM11" s="253"/>
      <c r="AN11" s="69"/>
      <c r="AO11" s="69"/>
      <c r="AP11" s="253"/>
      <c r="AQ11" s="253"/>
      <c r="AR11" s="253"/>
      <c r="AS11" s="253"/>
      <c r="AT11" s="253"/>
      <c r="AU11" s="253"/>
      <c r="AV11" s="253"/>
      <c r="AW11" s="253"/>
      <c r="AX11" s="253"/>
      <c r="AY11" s="244"/>
      <c r="AZ11" s="253"/>
      <c r="BA11" s="253"/>
      <c r="BB11" s="253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44"/>
      <c r="CT11" s="244"/>
      <c r="CU11" s="244"/>
      <c r="CV11" s="244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P11" s="129">
        <f>IF(C13&lt;0,-C13,C13)</f>
        <v>100</v>
      </c>
      <c r="EQ11" s="138"/>
      <c r="ER11" s="129" t="str">
        <f>IF(E16&lt;=0,0.00001,E16)</f>
        <v>=</v>
      </c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Q11" s="3"/>
    </row>
    <row r="12" spans="1:173" ht="4.5" customHeight="1">
      <c r="A12" s="239"/>
      <c r="B12" s="239"/>
      <c r="C12" s="239"/>
      <c r="D12" s="239"/>
      <c r="F12" s="239"/>
      <c r="G12" s="239"/>
      <c r="H12" s="239"/>
      <c r="J12" s="239"/>
      <c r="K12" s="239"/>
      <c r="L12" s="239"/>
      <c r="M12" s="239"/>
      <c r="N12" s="239"/>
      <c r="O12" s="239"/>
      <c r="P12" s="235"/>
      <c r="Q12" s="235"/>
      <c r="R12" s="235"/>
      <c r="S12" s="69"/>
      <c r="T12" s="69"/>
      <c r="U12" s="69"/>
      <c r="V12" s="69"/>
      <c r="W12" s="69"/>
      <c r="X12" s="252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245"/>
      <c r="AL12" s="253"/>
      <c r="AM12" s="253"/>
      <c r="AN12" s="69"/>
      <c r="AO12" s="69"/>
      <c r="AP12" s="253"/>
      <c r="AQ12" s="253"/>
      <c r="AR12" s="253"/>
      <c r="AS12" s="253"/>
      <c r="AT12" s="253"/>
      <c r="AU12" s="253"/>
      <c r="AV12" s="253"/>
      <c r="AW12" s="253"/>
      <c r="AX12" s="253"/>
      <c r="AY12" s="244"/>
      <c r="AZ12" s="253"/>
      <c r="BA12" s="253"/>
      <c r="BB12" s="253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44"/>
      <c r="CT12" s="244"/>
      <c r="CU12" s="244"/>
      <c r="CV12" s="244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P12" s="132"/>
      <c r="EQ12" s="132"/>
      <c r="ER12" s="132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Q12" s="3"/>
    </row>
    <row r="13" spans="1:173" ht="16.5" customHeight="1">
      <c r="A13" s="239"/>
      <c r="B13" s="432" t="s">
        <v>14</v>
      </c>
      <c r="C13" s="433">
        <v>100</v>
      </c>
      <c r="D13" s="569">
        <f>IF(C13&lt;=0,"ERRO! (CAD&gt;0)","")</f>
      </c>
      <c r="E13" s="239"/>
      <c r="F13" s="239"/>
      <c r="G13" s="437" t="s">
        <v>15</v>
      </c>
      <c r="H13" s="438">
        <v>1998</v>
      </c>
      <c r="I13" s="576"/>
      <c r="J13" s="440" t="s">
        <v>129</v>
      </c>
      <c r="K13" s="424">
        <v>108.4</v>
      </c>
      <c r="M13" s="239"/>
      <c r="N13" s="239"/>
      <c r="O13" s="239"/>
      <c r="P13" s="69"/>
      <c r="Q13" s="69"/>
      <c r="R13" s="69"/>
      <c r="S13" s="25"/>
      <c r="T13" s="235"/>
      <c r="V13" s="239"/>
      <c r="X13" s="550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245"/>
      <c r="AL13" s="253"/>
      <c r="AM13" s="253"/>
      <c r="AN13" s="69"/>
      <c r="AO13" s="69"/>
      <c r="AP13" s="253"/>
      <c r="AQ13" s="253"/>
      <c r="AR13" s="253"/>
      <c r="AS13" s="253"/>
      <c r="AT13" s="253"/>
      <c r="AU13" s="253"/>
      <c r="AV13" s="253"/>
      <c r="AW13" s="253"/>
      <c r="AX13" s="253"/>
      <c r="AY13" s="244"/>
      <c r="AZ13" s="253"/>
      <c r="BA13" s="253"/>
      <c r="BB13" s="253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44"/>
      <c r="CT13" s="244"/>
      <c r="CU13" s="244"/>
      <c r="CV13" s="244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P13" s="129">
        <f>IF(E16&lt;&gt;"=",ER11,$EP$11)</f>
        <v>100</v>
      </c>
      <c r="EQ13" s="129"/>
      <c r="ER13" s="129" t="s">
        <v>130</v>
      </c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>
        <f>IF(E16="=",$EP$11,ER11)</f>
        <v>100</v>
      </c>
      <c r="FQ13" s="3"/>
    </row>
    <row r="14" spans="1:173" ht="6.75" customHeight="1">
      <c r="A14" s="239"/>
      <c r="B14" s="296" t="s">
        <v>18</v>
      </c>
      <c r="C14" s="297" t="s">
        <v>18</v>
      </c>
      <c r="D14" s="298" t="s">
        <v>18</v>
      </c>
      <c r="F14" s="239"/>
      <c r="H14" s="239"/>
      <c r="I14" s="239"/>
      <c r="J14" s="239"/>
      <c r="K14" s="239"/>
      <c r="L14" s="239"/>
      <c r="M14" s="239"/>
      <c r="N14" s="302"/>
      <c r="O14" s="244"/>
      <c r="P14" s="69"/>
      <c r="Q14" s="69"/>
      <c r="R14" s="69"/>
      <c r="S14" s="69"/>
      <c r="T14" s="69"/>
      <c r="U14" s="69"/>
      <c r="V14" s="69"/>
      <c r="W14" s="69"/>
      <c r="X14" s="252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245"/>
      <c r="AL14" s="253"/>
      <c r="AM14" s="253"/>
      <c r="AN14" s="69"/>
      <c r="AO14" s="69"/>
      <c r="AP14" s="253"/>
      <c r="AQ14" s="253"/>
      <c r="AR14" s="253"/>
      <c r="AS14" s="253"/>
      <c r="AT14" s="253"/>
      <c r="AU14" s="253"/>
      <c r="AV14" s="253"/>
      <c r="AW14" s="253"/>
      <c r="AX14" s="253"/>
      <c r="AY14" s="244"/>
      <c r="AZ14" s="253"/>
      <c r="BA14" s="253"/>
      <c r="BB14" s="253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44"/>
      <c r="CT14" s="244"/>
      <c r="CU14" s="244"/>
      <c r="CV14" s="244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P14" s="132"/>
      <c r="EQ14" s="132"/>
      <c r="ER14" s="132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Q14" s="3"/>
    </row>
    <row r="15" spans="1:173" ht="16.5" thickBot="1">
      <c r="A15" s="239"/>
      <c r="B15" s="442" t="s">
        <v>131</v>
      </c>
      <c r="C15" s="443"/>
      <c r="D15" s="444"/>
      <c r="E15" s="445"/>
      <c r="F15" s="239"/>
      <c r="G15" s="437" t="s">
        <v>20</v>
      </c>
      <c r="H15" s="438">
        <v>1</v>
      </c>
      <c r="I15" s="576"/>
      <c r="J15" s="440" t="s">
        <v>132</v>
      </c>
      <c r="K15" s="424">
        <v>2.4</v>
      </c>
      <c r="M15" s="239"/>
      <c r="N15" s="239"/>
      <c r="O15" s="239"/>
      <c r="P15" s="239"/>
      <c r="Q15" s="239"/>
      <c r="R15" s="239"/>
      <c r="T15" s="235"/>
      <c r="V15" s="239"/>
      <c r="X15" s="60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245"/>
      <c r="AL15" s="253"/>
      <c r="AM15" s="253"/>
      <c r="AN15" s="69"/>
      <c r="AO15" s="69"/>
      <c r="AP15" s="253"/>
      <c r="AQ15" s="253"/>
      <c r="AR15" s="253"/>
      <c r="AS15" s="253"/>
      <c r="AT15" s="253"/>
      <c r="AU15" s="253"/>
      <c r="AV15" s="253"/>
      <c r="AW15" s="253"/>
      <c r="AX15" s="253"/>
      <c r="AY15" s="244"/>
      <c r="AZ15" s="253"/>
      <c r="BA15" s="253"/>
      <c r="BB15" s="253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44"/>
      <c r="CT15" s="244"/>
      <c r="CU15" s="244"/>
      <c r="CV15" s="244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P15" s="132"/>
      <c r="EQ15" s="132"/>
      <c r="ER15" s="132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Q15" s="3"/>
    </row>
    <row r="16" spans="1:173" ht="15.75" customHeight="1" thickBot="1">
      <c r="A16" s="239"/>
      <c r="B16" s="448" t="s">
        <v>133</v>
      </c>
      <c r="C16" s="446"/>
      <c r="D16" s="447"/>
      <c r="E16" s="449" t="s">
        <v>134</v>
      </c>
      <c r="F16" s="239"/>
      <c r="G16" s="568">
        <f>IF(OR(H15&lt;1,H15&gt;365),"ERRO! ( 1&lt;NDA&lt;365 )","")</f>
      </c>
      <c r="H16" s="239"/>
      <c r="I16" s="239"/>
      <c r="J16" s="239"/>
      <c r="K16" s="239"/>
      <c r="L16" s="239"/>
      <c r="M16" s="239"/>
      <c r="N16" s="655" t="s">
        <v>157</v>
      </c>
      <c r="O16" s="656"/>
      <c r="P16" s="657"/>
      <c r="Q16" s="252"/>
      <c r="R16" s="655" t="s">
        <v>158</v>
      </c>
      <c r="S16" s="656"/>
      <c r="T16" s="658"/>
      <c r="U16" s="69"/>
      <c r="V16" s="239"/>
      <c r="W16" s="239"/>
      <c r="X16" s="604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245"/>
      <c r="AL16" s="253"/>
      <c r="AM16" s="253"/>
      <c r="AN16" s="69"/>
      <c r="AO16" s="69"/>
      <c r="AP16" s="253"/>
      <c r="AQ16" s="253"/>
      <c r="AR16" s="253"/>
      <c r="AS16" s="253"/>
      <c r="AT16" s="253"/>
      <c r="AU16" s="253"/>
      <c r="AV16" s="253"/>
      <c r="AW16" s="253"/>
      <c r="AX16" s="253"/>
      <c r="AY16" s="244"/>
      <c r="AZ16" s="253"/>
      <c r="BA16" s="253"/>
      <c r="BB16" s="253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44"/>
      <c r="CT16" s="244"/>
      <c r="CU16" s="244"/>
      <c r="CV16" s="244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P16" s="132"/>
      <c r="EQ16" s="132"/>
      <c r="ER16" s="132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Q16" s="3"/>
    </row>
    <row r="17" spans="1:173" ht="16.5" thickBot="1">
      <c r="A17" s="239"/>
      <c r="B17" s="190" t="s">
        <v>135</v>
      </c>
      <c r="C17" s="191"/>
      <c r="D17" s="192"/>
      <c r="E17" s="193">
        <f>IF(E16&lt;&gt;"=",C13*LN(ER11/C13),0)</f>
        <v>0</v>
      </c>
      <c r="F17" s="239"/>
      <c r="G17" s="602" t="s">
        <v>159</v>
      </c>
      <c r="H17" s="603"/>
      <c r="I17" s="661"/>
      <c r="J17" s="664">
        <v>4341.87</v>
      </c>
      <c r="K17" s="673" t="s">
        <v>160</v>
      </c>
      <c r="L17" s="239"/>
      <c r="M17" s="239"/>
      <c r="N17" s="614"/>
      <c r="O17" s="613">
        <f>EL95</f>
        <v>4341.87</v>
      </c>
      <c r="P17" s="421" t="s">
        <v>161</v>
      </c>
      <c r="Q17" s="252"/>
      <c r="R17" s="614"/>
      <c r="S17" s="613">
        <f>(1-O17/J17)*100</f>
        <v>0</v>
      </c>
      <c r="T17" s="615" t="s">
        <v>162</v>
      </c>
      <c r="U17" s="69"/>
      <c r="V17" s="239"/>
      <c r="W17" s="239"/>
      <c r="X17" s="604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245"/>
      <c r="AL17" s="253"/>
      <c r="AM17" s="253"/>
      <c r="AN17" s="69"/>
      <c r="AO17" s="69"/>
      <c r="AP17" s="253"/>
      <c r="AQ17" s="253"/>
      <c r="AR17" s="253"/>
      <c r="AS17" s="253"/>
      <c r="AT17" s="253"/>
      <c r="AU17" s="253"/>
      <c r="AV17" s="253"/>
      <c r="AW17" s="253"/>
      <c r="AX17" s="253"/>
      <c r="AY17" s="244"/>
      <c r="AZ17" s="253"/>
      <c r="BA17" s="253"/>
      <c r="BB17" s="253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44"/>
      <c r="CT17" s="244"/>
      <c r="CU17" s="244"/>
      <c r="CV17" s="244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P17" s="132"/>
      <c r="EQ17" s="132"/>
      <c r="ER17" s="132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Q17" s="3"/>
    </row>
    <row r="18" spans="1:173" ht="12.75">
      <c r="A18" s="239"/>
      <c r="B18" s="239"/>
      <c r="C18" s="239"/>
      <c r="D18" s="299"/>
      <c r="E18" s="299"/>
      <c r="F18" s="300"/>
      <c r="G18" s="300"/>
      <c r="H18" s="300"/>
      <c r="I18" s="300"/>
      <c r="J18" s="239"/>
      <c r="K18" s="239"/>
      <c r="L18" s="300"/>
      <c r="M18" s="300"/>
      <c r="N18" s="300"/>
      <c r="O18" s="300"/>
      <c r="P18" s="239"/>
      <c r="Q18" s="239"/>
      <c r="R18" s="252"/>
      <c r="S18" s="69"/>
      <c r="T18" s="69"/>
      <c r="U18" s="69"/>
      <c r="V18" s="69"/>
      <c r="W18" s="69"/>
      <c r="X18" s="252"/>
      <c r="Y18" s="261"/>
      <c r="Z18" s="332"/>
      <c r="AA18" s="332"/>
      <c r="AB18" s="332"/>
      <c r="AC18" s="239"/>
      <c r="AD18" s="69"/>
      <c r="AE18" s="69"/>
      <c r="AF18" s="69"/>
      <c r="AG18" s="69"/>
      <c r="AH18" s="69"/>
      <c r="AI18" s="69"/>
      <c r="AJ18" s="239"/>
      <c r="AK18" s="245"/>
      <c r="AL18" s="253"/>
      <c r="AM18" s="253"/>
      <c r="AN18" s="69"/>
      <c r="AO18" s="69"/>
      <c r="AP18" s="253"/>
      <c r="AQ18" s="253"/>
      <c r="AR18" s="253"/>
      <c r="AS18" s="253"/>
      <c r="AT18" s="253"/>
      <c r="AU18" s="253"/>
      <c r="AV18" s="253"/>
      <c r="AW18" s="253"/>
      <c r="AX18" s="253"/>
      <c r="AY18" s="244"/>
      <c r="AZ18" s="253"/>
      <c r="BA18" s="253"/>
      <c r="BB18" s="253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44"/>
      <c r="CT18" s="244"/>
      <c r="CU18" s="244"/>
      <c r="CV18" s="244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P18" s="127"/>
      <c r="EQ18" s="127"/>
      <c r="ER18" s="127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L18" s="141"/>
      <c r="FM18" s="142" t="s">
        <v>18</v>
      </c>
      <c r="FQ18" s="3"/>
    </row>
    <row r="19" spans="1:173" ht="13.5" thickBot="1">
      <c r="A19" s="239"/>
      <c r="B19" s="616" t="s">
        <v>163</v>
      </c>
      <c r="C19" s="616"/>
      <c r="D19" s="299"/>
      <c r="E19" s="299"/>
      <c r="F19" s="300"/>
      <c r="G19" s="300"/>
      <c r="H19" s="300"/>
      <c r="I19" s="300"/>
      <c r="J19" s="300"/>
      <c r="K19" s="239"/>
      <c r="L19" s="300"/>
      <c r="M19" s="300"/>
      <c r="N19" s="300"/>
      <c r="O19" s="300"/>
      <c r="P19" s="239"/>
      <c r="Q19" s="239"/>
      <c r="R19" s="252"/>
      <c r="S19" s="69"/>
      <c r="T19" s="69"/>
      <c r="U19" s="69"/>
      <c r="V19" s="617" t="s">
        <v>157</v>
      </c>
      <c r="W19" s="617"/>
      <c r="X19" s="252"/>
      <c r="Y19" s="627" t="s">
        <v>24</v>
      </c>
      <c r="Z19" s="616"/>
      <c r="AA19" s="616"/>
      <c r="AB19" s="616"/>
      <c r="AC19" s="239"/>
      <c r="AD19" s="69"/>
      <c r="AE19" s="69"/>
      <c r="AF19" s="69"/>
      <c r="AG19" s="69"/>
      <c r="AH19" s="69"/>
      <c r="AI19" s="69"/>
      <c r="AJ19" s="239"/>
      <c r="AK19" s="245"/>
      <c r="AL19" s="253"/>
      <c r="AM19" s="253"/>
      <c r="AN19" s="69"/>
      <c r="AO19" s="69"/>
      <c r="AP19" s="253"/>
      <c r="AQ19" s="253"/>
      <c r="AR19" s="253"/>
      <c r="AS19" s="253"/>
      <c r="AT19" s="253"/>
      <c r="AU19" s="253"/>
      <c r="AV19" s="253"/>
      <c r="AW19" s="253"/>
      <c r="AX19" s="253"/>
      <c r="AY19" s="244"/>
      <c r="AZ19" s="253"/>
      <c r="BA19" s="253"/>
      <c r="BB19" s="253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44"/>
      <c r="CT19" s="244"/>
      <c r="CU19" s="244"/>
      <c r="CV19" s="244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P19" s="127"/>
      <c r="EQ19" s="127"/>
      <c r="ER19" s="127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L19" s="141"/>
      <c r="FM19" s="142"/>
      <c r="FQ19" s="3"/>
    </row>
    <row r="20" spans="1:173" ht="15">
      <c r="A20" s="239"/>
      <c r="B20" s="143" t="s">
        <v>136</v>
      </c>
      <c r="C20" s="181" t="s">
        <v>137</v>
      </c>
      <c r="D20" s="543" t="s">
        <v>27</v>
      </c>
      <c r="E20" s="182" t="s">
        <v>28</v>
      </c>
      <c r="F20" s="183" t="s">
        <v>29</v>
      </c>
      <c r="G20" s="599" t="s">
        <v>164</v>
      </c>
      <c r="H20" s="599" t="s">
        <v>165</v>
      </c>
      <c r="I20" s="662"/>
      <c r="J20" s="115" t="s">
        <v>30</v>
      </c>
      <c r="K20" s="145" t="s">
        <v>32</v>
      </c>
      <c r="L20" s="145" t="s">
        <v>166</v>
      </c>
      <c r="M20" s="145" t="s">
        <v>167</v>
      </c>
      <c r="N20" s="145" t="s">
        <v>37</v>
      </c>
      <c r="O20" s="144" t="s">
        <v>38</v>
      </c>
      <c r="P20" s="144" t="s">
        <v>39</v>
      </c>
      <c r="Q20" s="144"/>
      <c r="R20" s="145" t="s">
        <v>40</v>
      </c>
      <c r="S20" s="145" t="s">
        <v>41</v>
      </c>
      <c r="T20" s="145" t="s">
        <v>42</v>
      </c>
      <c r="U20" s="600"/>
      <c r="V20" s="145" t="s">
        <v>168</v>
      </c>
      <c r="W20" s="146" t="s">
        <v>169</v>
      </c>
      <c r="X20" s="605"/>
      <c r="Y20" s="178"/>
      <c r="Z20" s="666" t="s">
        <v>138</v>
      </c>
      <c r="AA20" s="179"/>
      <c r="AB20" s="179"/>
      <c r="AC20" s="179"/>
      <c r="AD20" s="618"/>
      <c r="AE20" s="618"/>
      <c r="AF20" s="618"/>
      <c r="AG20" s="619"/>
      <c r="AH20" s="282"/>
      <c r="AI20" s="282"/>
      <c r="AJ20" s="305" t="s">
        <v>79</v>
      </c>
      <c r="AK20" s="306"/>
      <c r="AL20" s="307"/>
      <c r="AM20" s="97"/>
      <c r="AN20" s="293"/>
      <c r="AO20" s="239"/>
      <c r="AP20" s="239"/>
      <c r="AQ20" s="239"/>
      <c r="AR20" s="293"/>
      <c r="AS20" s="293"/>
      <c r="AT20" s="293"/>
      <c r="AU20" s="293"/>
      <c r="AV20" s="293"/>
      <c r="AW20" s="293"/>
      <c r="AX20" s="293"/>
      <c r="AY20" s="293"/>
      <c r="AZ20" s="308"/>
      <c r="BA20" s="309" t="str">
        <f>F20</f>
        <v>P</v>
      </c>
      <c r="BB20" s="310" t="str">
        <f>L20</f>
        <v>ETc</v>
      </c>
      <c r="BC20" s="311" t="str">
        <f aca="true" t="shared" si="1" ref="BC20:BC51">R20</f>
        <v>ETR</v>
      </c>
      <c r="BD20" s="235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305" t="s">
        <v>79</v>
      </c>
      <c r="BQ20" s="306"/>
      <c r="BR20" s="307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305" t="s">
        <v>79</v>
      </c>
      <c r="CE20" s="306"/>
      <c r="CF20" s="307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44"/>
      <c r="CT20" s="244"/>
      <c r="CU20" s="244"/>
      <c r="CV20" s="244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P20" s="147" t="s">
        <v>139</v>
      </c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 t="s">
        <v>140</v>
      </c>
      <c r="FC20" s="147" t="s">
        <v>141</v>
      </c>
      <c r="FD20" s="147" t="s">
        <v>18</v>
      </c>
      <c r="FE20" s="147" t="s">
        <v>38</v>
      </c>
      <c r="FF20" s="148"/>
      <c r="FG20" s="148"/>
      <c r="FH20" s="148"/>
      <c r="FI20" s="148"/>
      <c r="FJ20" s="148"/>
      <c r="FK20" s="148"/>
      <c r="FL20" s="149" t="s">
        <v>142</v>
      </c>
      <c r="FM20" s="149" t="s">
        <v>142</v>
      </c>
      <c r="FN20" s="150"/>
      <c r="FQ20" s="3"/>
    </row>
    <row r="21" spans="1:173" ht="15.75" thickBot="1">
      <c r="A21" s="239"/>
      <c r="B21" s="456" t="s">
        <v>143</v>
      </c>
      <c r="C21" s="457" t="s">
        <v>144</v>
      </c>
      <c r="D21" s="208" t="s">
        <v>18</v>
      </c>
      <c r="E21" s="184" t="s">
        <v>145</v>
      </c>
      <c r="F21" s="185" t="s">
        <v>47</v>
      </c>
      <c r="G21" s="659"/>
      <c r="H21" s="151" t="s">
        <v>18</v>
      </c>
      <c r="I21" s="663"/>
      <c r="J21" s="180" t="s">
        <v>48</v>
      </c>
      <c r="K21" s="186" t="s">
        <v>49</v>
      </c>
      <c r="L21" s="151" t="s">
        <v>47</v>
      </c>
      <c r="M21" s="151" t="s">
        <v>47</v>
      </c>
      <c r="N21" s="151"/>
      <c r="O21" s="152" t="s">
        <v>47</v>
      </c>
      <c r="P21" s="152" t="s">
        <v>47</v>
      </c>
      <c r="Q21" s="152"/>
      <c r="R21" s="151" t="s">
        <v>47</v>
      </c>
      <c r="S21" s="151" t="s">
        <v>47</v>
      </c>
      <c r="T21" s="151" t="s">
        <v>47</v>
      </c>
      <c r="U21" s="600"/>
      <c r="V21" s="151"/>
      <c r="W21" s="153" t="s">
        <v>170</v>
      </c>
      <c r="X21" s="605"/>
      <c r="Y21" s="667"/>
      <c r="Z21" s="668" t="s">
        <v>54</v>
      </c>
      <c r="AA21" s="228" t="s">
        <v>55</v>
      </c>
      <c r="AB21" s="228" t="s">
        <v>30</v>
      </c>
      <c r="AC21" s="625"/>
      <c r="AD21" s="625"/>
      <c r="AE21" s="625"/>
      <c r="AF21" s="625"/>
      <c r="AG21" s="626"/>
      <c r="AH21" s="282"/>
      <c r="AI21" s="282"/>
      <c r="AJ21" s="312" t="str">
        <f>B21</f>
        <v>DECENDIOS</v>
      </c>
      <c r="AK21" s="313" t="s">
        <v>81</v>
      </c>
      <c r="AL21" s="314" t="s">
        <v>42</v>
      </c>
      <c r="AM21" s="97"/>
      <c r="AN21" s="293"/>
      <c r="AO21" s="239"/>
      <c r="AP21" s="239"/>
      <c r="AQ21" s="239"/>
      <c r="AR21" s="293"/>
      <c r="AS21" s="293"/>
      <c r="AT21" s="293"/>
      <c r="AU21" s="293"/>
      <c r="AV21" s="293"/>
      <c r="AW21" s="293"/>
      <c r="AX21" s="293"/>
      <c r="AY21" s="293"/>
      <c r="AZ21" s="315" t="str">
        <f>B21</f>
        <v>DECENDIOS</v>
      </c>
      <c r="BA21" s="316" t="str">
        <f>F21</f>
        <v>mm</v>
      </c>
      <c r="BB21" s="317"/>
      <c r="BC21" s="318" t="str">
        <f t="shared" si="1"/>
        <v>mm</v>
      </c>
      <c r="BD21" s="235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312" t="s">
        <v>147</v>
      </c>
      <c r="BQ21" s="313" t="s">
        <v>14</v>
      </c>
      <c r="BR21" s="314" t="s">
        <v>38</v>
      </c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312" t="s">
        <v>147</v>
      </c>
      <c r="CE21" s="582" t="s">
        <v>32</v>
      </c>
      <c r="CF21" s="583" t="s">
        <v>171</v>
      </c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584" t="s">
        <v>42</v>
      </c>
      <c r="CT21" s="585" t="s">
        <v>41</v>
      </c>
      <c r="CU21" s="585" t="s">
        <v>85</v>
      </c>
      <c r="CV21" s="586" t="s">
        <v>86</v>
      </c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I21" s="133" t="s">
        <v>172</v>
      </c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 t="s">
        <v>148</v>
      </c>
      <c r="FD21" s="147"/>
      <c r="FE21" s="147" t="s">
        <v>52</v>
      </c>
      <c r="FF21" s="148"/>
      <c r="FG21" s="148"/>
      <c r="FH21" s="148"/>
      <c r="FI21" s="148"/>
      <c r="FJ21" s="148"/>
      <c r="FK21" s="148"/>
      <c r="FL21" s="155" t="s">
        <v>149</v>
      </c>
      <c r="FM21" s="155" t="s">
        <v>150</v>
      </c>
      <c r="FN21" s="147"/>
      <c r="FQ21" s="3"/>
    </row>
    <row r="22" spans="1:173" ht="12.75">
      <c r="A22" s="239"/>
      <c r="B22" s="156" t="s">
        <v>92</v>
      </c>
      <c r="C22" s="114">
        <v>10</v>
      </c>
      <c r="D22" s="233">
        <f>IF(H15&lt;1,1,IF(H15&gt;365,365,H15))</f>
        <v>1</v>
      </c>
      <c r="E22" s="157">
        <v>25.3</v>
      </c>
      <c r="F22" s="157">
        <v>73</v>
      </c>
      <c r="G22" s="114">
        <v>1</v>
      </c>
      <c r="H22" s="114">
        <v>1</v>
      </c>
      <c r="I22" s="665">
        <f>IF(W22&lt;&gt;"","CULT","")</f>
      </c>
      <c r="J22" s="464">
        <f aca="true" t="shared" si="2" ref="J22:J53">AB22</f>
        <v>13.263591979327167</v>
      </c>
      <c r="K22" s="195">
        <f aca="true" t="shared" si="3" ref="K22:K53">16*((10*(E22/$K$13))^$K$15)*(J22/12)*(C22/30)</f>
        <v>45.07104305911713</v>
      </c>
      <c r="L22" s="194">
        <f aca="true" t="shared" si="4" ref="L22:L53">K22*G22</f>
        <v>45.07104305911713</v>
      </c>
      <c r="M22" s="158">
        <f aca="true" t="shared" si="5" ref="M22:M53">IF(FN22=1,F22-L22,"")</f>
        <v>27.92895694088287</v>
      </c>
      <c r="N22" s="158">
        <f>IF(FN22=1,IF(FD22=0,0,IF(M22&lt;0,FF1+M22,IF(M22&gt;0,$EP$11*LN(O22/$EP$11)))),"")</f>
        <v>0</v>
      </c>
      <c r="O22" s="159">
        <f>IF(FN22=1,IF(M22&gt;0,IF((M22+EP13)&gt;C13,C13,M22+EP13),IF(FE22&gt;$EP$11,$EP$11,FE22)),"")</f>
        <v>100</v>
      </c>
      <c r="P22" s="159">
        <f>IF(FN22=1,O22-EP13,"")</f>
        <v>0</v>
      </c>
      <c r="Q22" s="159"/>
      <c r="R22" s="158">
        <f aca="true" t="shared" si="6" ref="R22:R53">IF(FN22=1,IF(AND(M22&gt;=0,P22&gt;=0),L22,F22+ABS(P22)),"")</f>
        <v>45.07104305911713</v>
      </c>
      <c r="S22" s="71">
        <f aca="true" t="shared" si="7" ref="S22:S53">IF(FN22=1,L22-R22,"")</f>
        <v>0</v>
      </c>
      <c r="T22" s="158">
        <f>IF(FN22=1,IF(O22&lt;$EP$11,0,IF(O22=$EP$11,ABS(M22-P22))),"")</f>
        <v>27.92895694088287</v>
      </c>
      <c r="U22" s="601"/>
      <c r="V22" s="596">
        <f aca="true" t="shared" si="8" ref="V22:V29">R22/L22</f>
        <v>1</v>
      </c>
      <c r="W22" s="608">
        <f aca="true" t="shared" si="9" ref="W22:W53">IF(EK22&lt;&gt;0,EI22,"")</f>
      </c>
      <c r="X22" s="605"/>
      <c r="Y22" s="669"/>
      <c r="Z22" s="25">
        <f aca="true" t="shared" si="10" ref="Z22:Z53">23.45*SIN(RADIANS((360/365)*(D22-81)))</f>
        <v>-23.011636727869238</v>
      </c>
      <c r="AA22" s="25">
        <f>ACOS(-TAN(RADIANS($N$11))*TAN(RADIANS(Z22)))*180/PI()</f>
        <v>99.47693984495375</v>
      </c>
      <c r="AB22" s="25">
        <f>2*AA22/15</f>
        <v>13.263591979327167</v>
      </c>
      <c r="AC22" s="25"/>
      <c r="AD22" s="203"/>
      <c r="AE22" s="203"/>
      <c r="AF22" s="203"/>
      <c r="AG22" s="620"/>
      <c r="AH22" s="69"/>
      <c r="AI22" s="69"/>
      <c r="AJ22" s="319" t="str">
        <f>B22</f>
        <v>J1</v>
      </c>
      <c r="AK22" s="69">
        <f aca="true" t="shared" si="11" ref="AK22:AK53">IF(T22&lt;&gt;S22,S22*-1,0)</f>
        <v>0</v>
      </c>
      <c r="AL22" s="320">
        <f aca="true" t="shared" si="12" ref="AL22:AL53">IF(T22&lt;&gt;S22,T22,0)</f>
        <v>27.92895694088287</v>
      </c>
      <c r="AM22" s="69"/>
      <c r="AN22" s="244"/>
      <c r="AO22" s="239"/>
      <c r="AP22" s="239"/>
      <c r="AQ22" s="239"/>
      <c r="AR22" s="244"/>
      <c r="AS22" s="244"/>
      <c r="AT22" s="244"/>
      <c r="AU22" s="244"/>
      <c r="AV22" s="244"/>
      <c r="AW22" s="244"/>
      <c r="AX22" s="244"/>
      <c r="AY22" s="244"/>
      <c r="AZ22" s="321" t="str">
        <f>B22</f>
        <v>J1</v>
      </c>
      <c r="BA22" s="73">
        <f>F22</f>
        <v>73</v>
      </c>
      <c r="BB22" s="322">
        <f aca="true" t="shared" si="13" ref="BB22:BB53">L22</f>
        <v>45.07104305911713</v>
      </c>
      <c r="BC22" s="323">
        <f t="shared" si="1"/>
        <v>45.07104305911713</v>
      </c>
      <c r="BD22" s="235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324" t="str">
        <f>B22</f>
        <v>J1</v>
      </c>
      <c r="BQ22" s="325">
        <f aca="true" t="shared" si="14" ref="BQ22:BQ53">$C$13</f>
        <v>100</v>
      </c>
      <c r="BR22" s="326">
        <f aca="true" t="shared" si="15" ref="BR22:BR53">O22</f>
        <v>100</v>
      </c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324" t="str">
        <f>B22</f>
        <v>J1</v>
      </c>
      <c r="CE22" s="325">
        <f aca="true" t="shared" si="16" ref="CE22:CE53">K22</f>
        <v>45.07104305911713</v>
      </c>
      <c r="CF22" s="326">
        <f aca="true" t="shared" si="17" ref="CF22:CF53">L22</f>
        <v>45.07104305911713</v>
      </c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587">
        <f aca="true" t="shared" si="18" ref="CS22:CS53">T22</f>
        <v>27.92895694088287</v>
      </c>
      <c r="CT22" s="588">
        <f aca="true" t="shared" si="19" ref="CT22:CT53">-S22</f>
        <v>0</v>
      </c>
      <c r="CU22" s="588">
        <f aca="true" t="shared" si="20" ref="CU22:CU53">IF(P22&lt;0,P22,0)</f>
        <v>0</v>
      </c>
      <c r="CV22" s="589">
        <f aca="true" t="shared" si="21" ref="CV22:CV53">IF(P22&gt;0,P22,0)</f>
        <v>0</v>
      </c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I22" s="596">
        <f>(1-(H22*(1-V22)))*J17</f>
        <v>4341.87</v>
      </c>
      <c r="EJ22" s="233">
        <f aca="true" t="shared" si="22" ref="EJ22:EJ53">IF(OR(G22&lt;&gt;1,H22&lt;&gt;1),1,0)</f>
        <v>0</v>
      </c>
      <c r="EK22" s="233">
        <f aca="true" t="shared" si="23" ref="EK22:EK53">IF(OR(EK21+EJ22&lt;$EJ$95,EJ22=1),EK21+EJ22,0)</f>
        <v>0</v>
      </c>
      <c r="EL22" s="73">
        <f aca="true" t="shared" si="24" ref="EL22:EL53">IF(AND(W22&lt;&gt;"",W23=""),W22,"")</f>
      </c>
      <c r="EP22" s="162">
        <f aca="true" t="shared" si="25" ref="EP22:EP53">IF(M22&lt;0,1,0)</f>
        <v>0</v>
      </c>
      <c r="EQ22" s="162">
        <f aca="true" t="shared" si="26" ref="EQ22:FA22">IF(AND(EP20=1,EP22=0),1,0)</f>
        <v>0</v>
      </c>
      <c r="ER22" s="162">
        <f t="shared" si="26"/>
        <v>0</v>
      </c>
      <c r="ES22" s="162">
        <f t="shared" si="26"/>
        <v>0</v>
      </c>
      <c r="ET22" s="162">
        <f t="shared" si="26"/>
        <v>0</v>
      </c>
      <c r="EU22" s="162">
        <f t="shared" si="26"/>
        <v>0</v>
      </c>
      <c r="EV22" s="162">
        <f t="shared" si="26"/>
        <v>0</v>
      </c>
      <c r="EW22" s="162">
        <f t="shared" si="26"/>
        <v>0</v>
      </c>
      <c r="EX22" s="162">
        <f t="shared" si="26"/>
        <v>0</v>
      </c>
      <c r="EY22" s="162">
        <f t="shared" si="26"/>
        <v>0</v>
      </c>
      <c r="EZ22" s="162">
        <f t="shared" si="26"/>
        <v>0</v>
      </c>
      <c r="FA22" s="162">
        <f t="shared" si="26"/>
        <v>0</v>
      </c>
      <c r="FB22" s="162">
        <f>IF(AND($FM$96=1,OR(FL22=$FL$95,FB1=1)),1,0)</f>
        <v>0</v>
      </c>
      <c r="FC22" s="162">
        <f aca="true" t="shared" si="27" ref="FC22:FC53">IF(AND(FB22=1,FB21=0),M22,0)</f>
        <v>0</v>
      </c>
      <c r="FD22" s="162">
        <f>IF(OR(EP22=1,EQ22=1,ER22=1,ES22=1,ET22=1,EU22=1,EV22=1,EW22=1,EX22=1,EY22=1,EZ22=1,FA22=1,FB22=1,AND(M22&gt;0,EP13&lt;&gt;0)),1,0)</f>
        <v>1</v>
      </c>
      <c r="FE22" s="163">
        <f>IF(FN22=1,IF(FD22=0,IF($FM$96=1,$FC$95,$EP$11),IF(M22&lt;0,$EP$11*EXP(N22/$EP$11),IF(M22&gt;0,FE1+M22))),"")</f>
        <v>127.92895694088287</v>
      </c>
      <c r="FF22" s="164"/>
      <c r="FG22" s="164"/>
      <c r="FH22" s="164"/>
      <c r="FI22" s="164"/>
      <c r="FJ22" s="164"/>
      <c r="FK22" s="164"/>
      <c r="FL22" s="165">
        <f>IF(M22&lt;0,0,M22+EO1)</f>
        <v>27.92895694088287</v>
      </c>
      <c r="FM22" s="165">
        <f>IF(M22&lt;0,FM1,EM1+M22)</f>
        <v>27.92895694088287</v>
      </c>
      <c r="FN22" s="162">
        <f>IF(OR(B22="fim",EI1=0),0,1)</f>
        <v>1</v>
      </c>
      <c r="FO22" s="164"/>
      <c r="FQ22" s="3"/>
    </row>
    <row r="23" spans="1:173" ht="12.75">
      <c r="A23" s="239"/>
      <c r="B23" s="166" t="s">
        <v>93</v>
      </c>
      <c r="C23" s="114">
        <v>10</v>
      </c>
      <c r="D23" s="233">
        <f aca="true" t="shared" si="28" ref="D23:D86">IF(D22+C22&gt;365,((D22+C22)-365),D22+C22)</f>
        <v>11</v>
      </c>
      <c r="E23" s="157">
        <v>24</v>
      </c>
      <c r="F23" s="157">
        <v>100</v>
      </c>
      <c r="G23" s="114">
        <v>1</v>
      </c>
      <c r="H23" s="114">
        <v>1</v>
      </c>
      <c r="I23" s="665">
        <f aca="true" t="shared" si="29" ref="I23:I86">IF(W23&lt;&gt;"","CULT","")</f>
      </c>
      <c r="J23" s="464">
        <f t="shared" si="2"/>
        <v>13.195339505503064</v>
      </c>
      <c r="K23" s="195">
        <f t="shared" si="3"/>
        <v>39.50706377538202</v>
      </c>
      <c r="L23" s="194">
        <f t="shared" si="4"/>
        <v>39.50706377538202</v>
      </c>
      <c r="M23" s="71">
        <f t="shared" si="5"/>
        <v>60.49293622461798</v>
      </c>
      <c r="N23" s="71">
        <f aca="true" t="shared" si="30" ref="N23:N54">IF(FN23=1,IF(FD23=0,0,IF(M23&lt;0,N22+M23,IF(M23&gt;0,$EP$11*LN(O23/$EP$11)))),"")</f>
        <v>0</v>
      </c>
      <c r="O23" s="73">
        <f aca="true" t="shared" si="31" ref="O23:O54">IF(FN23=1,IF(FE23&gt;$EP$11,$EP$11,FE23),"")</f>
        <v>100</v>
      </c>
      <c r="P23" s="73">
        <f aca="true" t="shared" si="32" ref="P23:P54">IF(FN23=1,O23-O22,"")</f>
        <v>0</v>
      </c>
      <c r="Q23" s="73"/>
      <c r="R23" s="71">
        <f t="shared" si="6"/>
        <v>39.50706377538202</v>
      </c>
      <c r="S23" s="71">
        <f t="shared" si="7"/>
        <v>0</v>
      </c>
      <c r="T23" s="71">
        <f aca="true" t="shared" si="33" ref="T23:T54">IF(FN23=1,IF(O23&lt;$EP$11,0,IF(O23=$EP$11,M23-P23)),"")</f>
        <v>60.49293622461798</v>
      </c>
      <c r="U23" s="601"/>
      <c r="V23" s="596">
        <f t="shared" si="8"/>
        <v>1</v>
      </c>
      <c r="W23" s="609">
        <f t="shared" si="9"/>
      </c>
      <c r="X23" s="605"/>
      <c r="Y23" s="670"/>
      <c r="Z23" s="25">
        <f t="shared" si="10"/>
        <v>-21.898483015897597</v>
      </c>
      <c r="AA23" s="25">
        <f aca="true" t="shared" si="34" ref="AA23:AA86">ACOS(-TAN(RADIANS($N$11))*TAN(RADIANS(Z23)))*180/PI()</f>
        <v>98.96504629127298</v>
      </c>
      <c r="AB23" s="25">
        <f aca="true" t="shared" si="35" ref="AB23:AB86">2*AA23/15</f>
        <v>13.195339505503064</v>
      </c>
      <c r="AC23" s="25"/>
      <c r="AD23" s="203"/>
      <c r="AE23" s="203"/>
      <c r="AF23" s="203"/>
      <c r="AG23" s="620"/>
      <c r="AH23" s="69"/>
      <c r="AI23" s="69"/>
      <c r="AJ23" s="319" t="str">
        <f aca="true" t="shared" si="36" ref="AJ23:AJ86">B23</f>
        <v>J2</v>
      </c>
      <c r="AK23" s="69">
        <f t="shared" si="11"/>
        <v>0</v>
      </c>
      <c r="AL23" s="320">
        <f t="shared" si="12"/>
        <v>60.49293622461798</v>
      </c>
      <c r="AM23" s="69"/>
      <c r="AN23" s="244"/>
      <c r="AO23" s="239"/>
      <c r="AP23" s="239"/>
      <c r="AQ23" s="239"/>
      <c r="AR23" s="244"/>
      <c r="AS23" s="244"/>
      <c r="AT23" s="244"/>
      <c r="AU23" s="244"/>
      <c r="AV23" s="244"/>
      <c r="AW23" s="244"/>
      <c r="AX23" s="244"/>
      <c r="AY23" s="244"/>
      <c r="AZ23" s="321" t="str">
        <f aca="true" t="shared" si="37" ref="AZ23:AZ86">B23</f>
        <v>J2</v>
      </c>
      <c r="BA23" s="73">
        <f aca="true" t="shared" si="38" ref="BA23:BA86">F23</f>
        <v>100</v>
      </c>
      <c r="BB23" s="322">
        <f t="shared" si="13"/>
        <v>39.50706377538202</v>
      </c>
      <c r="BC23" s="323">
        <f t="shared" si="1"/>
        <v>39.50706377538202</v>
      </c>
      <c r="BD23" s="235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319" t="str">
        <f aca="true" t="shared" si="39" ref="BP23:BP86">B23</f>
        <v>J2</v>
      </c>
      <c r="BQ23" s="69">
        <f t="shared" si="14"/>
        <v>100</v>
      </c>
      <c r="BR23" s="320">
        <f t="shared" si="15"/>
        <v>100</v>
      </c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319" t="str">
        <f aca="true" t="shared" si="40" ref="CD23:CD86">B23</f>
        <v>J2</v>
      </c>
      <c r="CE23" s="69">
        <f t="shared" si="16"/>
        <v>39.50706377538202</v>
      </c>
      <c r="CF23" s="320">
        <f t="shared" si="17"/>
        <v>39.50706377538202</v>
      </c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590">
        <f t="shared" si="18"/>
        <v>60.49293622461798</v>
      </c>
      <c r="CT23" s="253">
        <f t="shared" si="19"/>
        <v>0</v>
      </c>
      <c r="CU23" s="253">
        <f t="shared" si="20"/>
        <v>0</v>
      </c>
      <c r="CV23" s="591">
        <f t="shared" si="21"/>
        <v>0</v>
      </c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I23" s="596">
        <f aca="true" t="shared" si="41" ref="EI23:EI54">(1-(H23*(1-V23)))*EI22</f>
        <v>4341.87</v>
      </c>
      <c r="EJ23" s="233">
        <f t="shared" si="22"/>
        <v>0</v>
      </c>
      <c r="EK23" s="233">
        <f t="shared" si="23"/>
        <v>0</v>
      </c>
      <c r="EL23" s="73">
        <f t="shared" si="24"/>
      </c>
      <c r="EP23" s="162">
        <f t="shared" si="25"/>
        <v>0</v>
      </c>
      <c r="EQ23" s="162">
        <f aca="true" t="shared" si="42" ref="EQ23:FA38">IF(AND(EP22=1,EP23=0),1,0)</f>
        <v>0</v>
      </c>
      <c r="ER23" s="162">
        <f t="shared" si="42"/>
        <v>0</v>
      </c>
      <c r="ES23" s="162">
        <f t="shared" si="42"/>
        <v>0</v>
      </c>
      <c r="ET23" s="162">
        <f t="shared" si="42"/>
        <v>0</v>
      </c>
      <c r="EU23" s="162">
        <f t="shared" si="42"/>
        <v>0</v>
      </c>
      <c r="EV23" s="162">
        <f t="shared" si="42"/>
        <v>0</v>
      </c>
      <c r="EW23" s="162">
        <f t="shared" si="42"/>
        <v>0</v>
      </c>
      <c r="EX23" s="162">
        <f t="shared" si="42"/>
        <v>0</v>
      </c>
      <c r="EY23" s="162">
        <f t="shared" si="42"/>
        <v>0</v>
      </c>
      <c r="EZ23" s="162">
        <f t="shared" si="42"/>
        <v>0</v>
      </c>
      <c r="FA23" s="162">
        <f t="shared" si="42"/>
        <v>0</v>
      </c>
      <c r="FB23" s="162">
        <f aca="true" t="shared" si="43" ref="FB23:FB86">IF(AND($FM$96=1,OR(FL23=$FL$95,FB22=1)),1,0)</f>
        <v>0</v>
      </c>
      <c r="FC23" s="162">
        <f t="shared" si="27"/>
        <v>0</v>
      </c>
      <c r="FD23" s="162">
        <f aca="true" t="shared" si="44" ref="FD23:FD86">IF(OR(EP23=1,EQ23=1,ER23=1,ES23=1,ET23=1,EU23=1,EV23=1,EW23=1,EX23=1,EY23=1,EZ23=1,FA23=1,FB23=1),1,0)</f>
        <v>0</v>
      </c>
      <c r="FE23" s="163">
        <f aca="true" t="shared" si="45" ref="FE23:FE54">IF(FN23=1,IF(FD23=0,IF($FM$96=1,$FC$95,$EP$11),IF(M23&lt;0,$EP$11*EXP(N23/$EP$11),IF(M23&gt;0,FE22+ABS(M23)))),"")</f>
        <v>100</v>
      </c>
      <c r="FF23" s="164"/>
      <c r="FG23" s="164"/>
      <c r="FH23" s="164"/>
      <c r="FI23" s="164"/>
      <c r="FJ23" s="164"/>
      <c r="FK23" s="164"/>
      <c r="FL23" s="165">
        <f aca="true" t="shared" si="46" ref="FL23:FL54">IF(FN23=1,IF(M23&lt;0,0,M23+FL22),"")</f>
        <v>88.42189316550085</v>
      </c>
      <c r="FM23" s="165">
        <f aca="true" t="shared" si="47" ref="FM23:FM54">IF(FN23=1,IF(M23&lt;0,FM22,FM22+M23),"")</f>
        <v>88.42189316550085</v>
      </c>
      <c r="FN23" s="162">
        <f aca="true" t="shared" si="48" ref="FN23:FN54">IF(OR(B23="fim",FN22=0),0,1)</f>
        <v>1</v>
      </c>
      <c r="FO23" s="164"/>
      <c r="FQ23" s="3"/>
    </row>
    <row r="24" spans="1:173" ht="12.75">
      <c r="A24" s="239"/>
      <c r="B24" s="166" t="s">
        <v>94</v>
      </c>
      <c r="C24" s="114">
        <v>10</v>
      </c>
      <c r="D24" s="233">
        <f t="shared" si="28"/>
        <v>21</v>
      </c>
      <c r="E24" s="157">
        <v>24</v>
      </c>
      <c r="F24" s="157">
        <v>58.8</v>
      </c>
      <c r="G24" s="114">
        <v>0.1</v>
      </c>
      <c r="H24" s="114">
        <v>0.2</v>
      </c>
      <c r="I24" s="665" t="str">
        <f t="shared" si="29"/>
        <v>CULT</v>
      </c>
      <c r="J24" s="464">
        <f t="shared" si="2"/>
        <v>13.089715185225144</v>
      </c>
      <c r="K24" s="195">
        <f t="shared" si="3"/>
        <v>39.190822821088204</v>
      </c>
      <c r="L24" s="194">
        <f t="shared" si="4"/>
        <v>3.9190822821088207</v>
      </c>
      <c r="M24" s="71">
        <f t="shared" si="5"/>
        <v>54.88091771789118</v>
      </c>
      <c r="N24" s="71">
        <f t="shared" si="30"/>
        <v>0</v>
      </c>
      <c r="O24" s="73">
        <f t="shared" si="31"/>
        <v>100</v>
      </c>
      <c r="P24" s="73">
        <f t="shared" si="32"/>
        <v>0</v>
      </c>
      <c r="Q24" s="73"/>
      <c r="R24" s="71">
        <f t="shared" si="6"/>
        <v>3.9190822821088207</v>
      </c>
      <c r="S24" s="71">
        <f t="shared" si="7"/>
        <v>0</v>
      </c>
      <c r="T24" s="71">
        <f t="shared" si="33"/>
        <v>54.88091771789118</v>
      </c>
      <c r="U24" s="601"/>
      <c r="V24" s="596">
        <f t="shared" si="8"/>
        <v>1</v>
      </c>
      <c r="W24" s="609">
        <f t="shared" si="9"/>
        <v>4341.87</v>
      </c>
      <c r="X24" s="605"/>
      <c r="Y24" s="670"/>
      <c r="Z24" s="25">
        <f t="shared" si="10"/>
        <v>-20.138014821567577</v>
      </c>
      <c r="AA24" s="25">
        <f t="shared" si="34"/>
        <v>98.17286388918858</v>
      </c>
      <c r="AB24" s="25">
        <f t="shared" si="35"/>
        <v>13.089715185225144</v>
      </c>
      <c r="AC24" s="25"/>
      <c r="AD24" s="203"/>
      <c r="AE24" s="203"/>
      <c r="AF24" s="203"/>
      <c r="AG24" s="620"/>
      <c r="AH24" s="69"/>
      <c r="AI24" s="69"/>
      <c r="AJ24" s="319" t="str">
        <f t="shared" si="36"/>
        <v>J3</v>
      </c>
      <c r="AK24" s="69">
        <f t="shared" si="11"/>
        <v>0</v>
      </c>
      <c r="AL24" s="320">
        <f t="shared" si="12"/>
        <v>54.88091771789118</v>
      </c>
      <c r="AM24" s="69"/>
      <c r="AN24" s="244"/>
      <c r="AO24" s="239"/>
      <c r="AP24" s="239"/>
      <c r="AQ24" s="239"/>
      <c r="AR24" s="244"/>
      <c r="AS24" s="244"/>
      <c r="AT24" s="244"/>
      <c r="AU24" s="244"/>
      <c r="AV24" s="244"/>
      <c r="AW24" s="244"/>
      <c r="AX24" s="244"/>
      <c r="AY24" s="244"/>
      <c r="AZ24" s="321" t="str">
        <f t="shared" si="37"/>
        <v>J3</v>
      </c>
      <c r="BA24" s="73">
        <f t="shared" si="38"/>
        <v>58.8</v>
      </c>
      <c r="BB24" s="322">
        <f t="shared" si="13"/>
        <v>3.9190822821088207</v>
      </c>
      <c r="BC24" s="323">
        <f t="shared" si="1"/>
        <v>3.9190822821088207</v>
      </c>
      <c r="BD24" s="235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319" t="str">
        <f t="shared" si="39"/>
        <v>J3</v>
      </c>
      <c r="BQ24" s="69">
        <f t="shared" si="14"/>
        <v>100</v>
      </c>
      <c r="BR24" s="320">
        <f t="shared" si="15"/>
        <v>100</v>
      </c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319" t="str">
        <f t="shared" si="40"/>
        <v>J3</v>
      </c>
      <c r="CE24" s="69">
        <f t="shared" si="16"/>
        <v>39.190822821088204</v>
      </c>
      <c r="CF24" s="320">
        <f t="shared" si="17"/>
        <v>3.9190822821088207</v>
      </c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590">
        <f t="shared" si="18"/>
        <v>54.88091771789118</v>
      </c>
      <c r="CT24" s="253">
        <f t="shared" si="19"/>
        <v>0</v>
      </c>
      <c r="CU24" s="253">
        <f t="shared" si="20"/>
        <v>0</v>
      </c>
      <c r="CV24" s="591">
        <f t="shared" si="21"/>
        <v>0</v>
      </c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I24" s="596">
        <f t="shared" si="41"/>
        <v>4341.87</v>
      </c>
      <c r="EJ24" s="233">
        <f t="shared" si="22"/>
        <v>1</v>
      </c>
      <c r="EK24" s="233">
        <f t="shared" si="23"/>
        <v>1</v>
      </c>
      <c r="EL24" s="73">
        <f t="shared" si="24"/>
      </c>
      <c r="EP24" s="162">
        <f t="shared" si="25"/>
        <v>0</v>
      </c>
      <c r="EQ24" s="162">
        <f t="shared" si="42"/>
        <v>0</v>
      </c>
      <c r="ER24" s="162">
        <f t="shared" si="42"/>
        <v>0</v>
      </c>
      <c r="ES24" s="162">
        <f t="shared" si="42"/>
        <v>0</v>
      </c>
      <c r="ET24" s="162">
        <f t="shared" si="42"/>
        <v>0</v>
      </c>
      <c r="EU24" s="162">
        <f t="shared" si="42"/>
        <v>0</v>
      </c>
      <c r="EV24" s="162">
        <f t="shared" si="42"/>
        <v>0</v>
      </c>
      <c r="EW24" s="162">
        <f t="shared" si="42"/>
        <v>0</v>
      </c>
      <c r="EX24" s="162">
        <f t="shared" si="42"/>
        <v>0</v>
      </c>
      <c r="EY24" s="162">
        <f t="shared" si="42"/>
        <v>0</v>
      </c>
      <c r="EZ24" s="162">
        <f t="shared" si="42"/>
        <v>0</v>
      </c>
      <c r="FA24" s="162">
        <f t="shared" si="42"/>
        <v>0</v>
      </c>
      <c r="FB24" s="162">
        <f t="shared" si="43"/>
        <v>0</v>
      </c>
      <c r="FC24" s="162">
        <f t="shared" si="27"/>
        <v>0</v>
      </c>
      <c r="FD24" s="162">
        <f t="shared" si="44"/>
        <v>0</v>
      </c>
      <c r="FE24" s="163">
        <f t="shared" si="45"/>
        <v>100</v>
      </c>
      <c r="FF24" s="164"/>
      <c r="FG24" s="164"/>
      <c r="FH24" s="164"/>
      <c r="FI24" s="164"/>
      <c r="FJ24" s="164"/>
      <c r="FK24" s="164"/>
      <c r="FL24" s="165">
        <f t="shared" si="46"/>
        <v>143.30281088339203</v>
      </c>
      <c r="FM24" s="165">
        <f t="shared" si="47"/>
        <v>143.30281088339203</v>
      </c>
      <c r="FN24" s="162">
        <f t="shared" si="48"/>
        <v>1</v>
      </c>
      <c r="FO24" s="164"/>
      <c r="FQ24" s="3"/>
    </row>
    <row r="25" spans="1:171" ht="12.75">
      <c r="A25" s="239"/>
      <c r="B25" s="166" t="s">
        <v>95</v>
      </c>
      <c r="C25" s="114">
        <v>10</v>
      </c>
      <c r="D25" s="233">
        <f t="shared" si="28"/>
        <v>31</v>
      </c>
      <c r="E25" s="157">
        <v>24.6</v>
      </c>
      <c r="F25" s="157">
        <v>54.5</v>
      </c>
      <c r="G25" s="114">
        <v>0.1</v>
      </c>
      <c r="H25" s="114">
        <v>0.8</v>
      </c>
      <c r="I25" s="665" t="str">
        <f t="shared" si="29"/>
        <v>CULT</v>
      </c>
      <c r="J25" s="464">
        <f t="shared" si="2"/>
        <v>12.952322302955375</v>
      </c>
      <c r="K25" s="195">
        <f t="shared" si="3"/>
        <v>41.14708790794253</v>
      </c>
      <c r="L25" s="194">
        <f t="shared" si="4"/>
        <v>4.114708790794253</v>
      </c>
      <c r="M25" s="71">
        <f t="shared" si="5"/>
        <v>50.38529120920575</v>
      </c>
      <c r="N25" s="71">
        <f t="shared" si="30"/>
        <v>0</v>
      </c>
      <c r="O25" s="73">
        <f t="shared" si="31"/>
        <v>100</v>
      </c>
      <c r="P25" s="73">
        <f t="shared" si="32"/>
        <v>0</v>
      </c>
      <c r="Q25" s="73"/>
      <c r="R25" s="71">
        <f t="shared" si="6"/>
        <v>4.114708790794253</v>
      </c>
      <c r="S25" s="71">
        <f t="shared" si="7"/>
        <v>0</v>
      </c>
      <c r="T25" s="71">
        <f t="shared" si="33"/>
        <v>50.38529120920575</v>
      </c>
      <c r="U25" s="601"/>
      <c r="V25" s="596">
        <f t="shared" si="8"/>
        <v>1</v>
      </c>
      <c r="W25" s="609">
        <f t="shared" si="9"/>
        <v>4341.87</v>
      </c>
      <c r="X25" s="605"/>
      <c r="Y25" s="670"/>
      <c r="Z25" s="25">
        <f t="shared" si="10"/>
        <v>-17.782271208822287</v>
      </c>
      <c r="AA25" s="25">
        <f t="shared" si="34"/>
        <v>97.14241727216532</v>
      </c>
      <c r="AB25" s="25">
        <f t="shared" si="35"/>
        <v>12.952322302955375</v>
      </c>
      <c r="AC25" s="25"/>
      <c r="AD25" s="203"/>
      <c r="AE25" s="203"/>
      <c r="AF25" s="203"/>
      <c r="AG25" s="620"/>
      <c r="AH25" s="69"/>
      <c r="AI25" s="69"/>
      <c r="AJ25" s="319" t="str">
        <f t="shared" si="36"/>
        <v>F1</v>
      </c>
      <c r="AK25" s="69">
        <f t="shared" si="11"/>
        <v>0</v>
      </c>
      <c r="AL25" s="320">
        <f t="shared" si="12"/>
        <v>50.38529120920575</v>
      </c>
      <c r="AM25" s="69"/>
      <c r="AN25" s="244"/>
      <c r="AO25" s="239"/>
      <c r="AP25" s="239"/>
      <c r="AQ25" s="239"/>
      <c r="AR25" s="244"/>
      <c r="AS25" s="244"/>
      <c r="AT25" s="244"/>
      <c r="AU25" s="244"/>
      <c r="AV25" s="244"/>
      <c r="AW25" s="244"/>
      <c r="AX25" s="244"/>
      <c r="AY25" s="244"/>
      <c r="AZ25" s="321" t="str">
        <f t="shared" si="37"/>
        <v>F1</v>
      </c>
      <c r="BA25" s="73">
        <f t="shared" si="38"/>
        <v>54.5</v>
      </c>
      <c r="BB25" s="322">
        <f t="shared" si="13"/>
        <v>4.114708790794253</v>
      </c>
      <c r="BC25" s="323">
        <f t="shared" si="1"/>
        <v>4.114708790794253</v>
      </c>
      <c r="BD25" s="235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319" t="str">
        <f t="shared" si="39"/>
        <v>F1</v>
      </c>
      <c r="BQ25" s="69">
        <f t="shared" si="14"/>
        <v>100</v>
      </c>
      <c r="BR25" s="320">
        <f t="shared" si="15"/>
        <v>100</v>
      </c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319" t="str">
        <f t="shared" si="40"/>
        <v>F1</v>
      </c>
      <c r="CE25" s="69">
        <f t="shared" si="16"/>
        <v>41.14708790794253</v>
      </c>
      <c r="CF25" s="320">
        <f t="shared" si="17"/>
        <v>4.114708790794253</v>
      </c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590">
        <f t="shared" si="18"/>
        <v>50.38529120920575</v>
      </c>
      <c r="CT25" s="253">
        <f t="shared" si="19"/>
        <v>0</v>
      </c>
      <c r="CU25" s="253">
        <f t="shared" si="20"/>
        <v>0</v>
      </c>
      <c r="CV25" s="591">
        <f t="shared" si="21"/>
        <v>0</v>
      </c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I25" s="596">
        <f t="shared" si="41"/>
        <v>4341.87</v>
      </c>
      <c r="EJ25" s="233">
        <f t="shared" si="22"/>
        <v>1</v>
      </c>
      <c r="EK25" s="233">
        <f t="shared" si="23"/>
        <v>2</v>
      </c>
      <c r="EL25" s="73">
        <f t="shared" si="24"/>
      </c>
      <c r="EP25" s="162">
        <f t="shared" si="25"/>
        <v>0</v>
      </c>
      <c r="EQ25" s="162">
        <f t="shared" si="42"/>
        <v>0</v>
      </c>
      <c r="ER25" s="162">
        <f t="shared" si="42"/>
        <v>0</v>
      </c>
      <c r="ES25" s="162">
        <f t="shared" si="42"/>
        <v>0</v>
      </c>
      <c r="ET25" s="162">
        <f t="shared" si="42"/>
        <v>0</v>
      </c>
      <c r="EU25" s="162">
        <f t="shared" si="42"/>
        <v>0</v>
      </c>
      <c r="EV25" s="162">
        <f t="shared" si="42"/>
        <v>0</v>
      </c>
      <c r="EW25" s="162">
        <f t="shared" si="42"/>
        <v>0</v>
      </c>
      <c r="EX25" s="162">
        <f t="shared" si="42"/>
        <v>0</v>
      </c>
      <c r="EY25" s="162">
        <f t="shared" si="42"/>
        <v>0</v>
      </c>
      <c r="EZ25" s="162">
        <f t="shared" si="42"/>
        <v>0</v>
      </c>
      <c r="FA25" s="162">
        <f t="shared" si="42"/>
        <v>0</v>
      </c>
      <c r="FB25" s="162">
        <f t="shared" si="43"/>
        <v>0</v>
      </c>
      <c r="FC25" s="162">
        <f t="shared" si="27"/>
        <v>0</v>
      </c>
      <c r="FD25" s="162">
        <f t="shared" si="44"/>
        <v>0</v>
      </c>
      <c r="FE25" s="163">
        <f t="shared" si="45"/>
        <v>100</v>
      </c>
      <c r="FF25" s="164"/>
      <c r="FG25" s="164"/>
      <c r="FH25" s="164"/>
      <c r="FI25" s="164"/>
      <c r="FJ25" s="164"/>
      <c r="FK25" s="164"/>
      <c r="FL25" s="165">
        <f t="shared" si="46"/>
        <v>193.68810209259777</v>
      </c>
      <c r="FM25" s="165">
        <f t="shared" si="47"/>
        <v>193.68810209259777</v>
      </c>
      <c r="FN25" s="162">
        <f t="shared" si="48"/>
        <v>1</v>
      </c>
      <c r="FO25" s="164"/>
    </row>
    <row r="26" spans="1:171" ht="12.75">
      <c r="A26" s="239"/>
      <c r="B26" s="166" t="s">
        <v>96</v>
      </c>
      <c r="C26" s="114">
        <v>10</v>
      </c>
      <c r="D26" s="233">
        <f t="shared" si="28"/>
        <v>41</v>
      </c>
      <c r="E26" s="157">
        <v>25</v>
      </c>
      <c r="F26" s="157">
        <v>100</v>
      </c>
      <c r="G26" s="114">
        <v>0.1</v>
      </c>
      <c r="H26" s="114">
        <v>0.9</v>
      </c>
      <c r="I26" s="665" t="str">
        <f t="shared" si="29"/>
        <v>CULT</v>
      </c>
      <c r="J26" s="464">
        <f t="shared" si="2"/>
        <v>12.78947670989932</v>
      </c>
      <c r="K26" s="195">
        <f t="shared" si="3"/>
        <v>42.23339563309281</v>
      </c>
      <c r="L26" s="194">
        <f t="shared" si="4"/>
        <v>4.223339563309281</v>
      </c>
      <c r="M26" s="71">
        <f t="shared" si="5"/>
        <v>95.77666043669072</v>
      </c>
      <c r="N26" s="71">
        <f t="shared" si="30"/>
        <v>0</v>
      </c>
      <c r="O26" s="73">
        <f t="shared" si="31"/>
        <v>100</v>
      </c>
      <c r="P26" s="73">
        <f t="shared" si="32"/>
        <v>0</v>
      </c>
      <c r="Q26" s="73"/>
      <c r="R26" s="71">
        <f t="shared" si="6"/>
        <v>4.223339563309281</v>
      </c>
      <c r="S26" s="71">
        <f t="shared" si="7"/>
        <v>0</v>
      </c>
      <c r="T26" s="71">
        <f t="shared" si="33"/>
        <v>95.77666043669072</v>
      </c>
      <c r="U26" s="601"/>
      <c r="V26" s="596">
        <f t="shared" si="8"/>
        <v>1</v>
      </c>
      <c r="W26" s="609">
        <f t="shared" si="9"/>
        <v>4341.87</v>
      </c>
      <c r="X26" s="605"/>
      <c r="Y26" s="670"/>
      <c r="Z26" s="25">
        <f t="shared" si="10"/>
        <v>-14.90088745587466</v>
      </c>
      <c r="AA26" s="25">
        <f t="shared" si="34"/>
        <v>95.9210753242449</v>
      </c>
      <c r="AB26" s="25">
        <f t="shared" si="35"/>
        <v>12.78947670989932</v>
      </c>
      <c r="AC26" s="25"/>
      <c r="AD26" s="203"/>
      <c r="AE26" s="203"/>
      <c r="AF26" s="203"/>
      <c r="AG26" s="620"/>
      <c r="AH26" s="69"/>
      <c r="AI26" s="69"/>
      <c r="AJ26" s="319" t="str">
        <f t="shared" si="36"/>
        <v>F2</v>
      </c>
      <c r="AK26" s="69">
        <f t="shared" si="11"/>
        <v>0</v>
      </c>
      <c r="AL26" s="320">
        <f t="shared" si="12"/>
        <v>95.77666043669072</v>
      </c>
      <c r="AM26" s="69"/>
      <c r="AN26" s="244"/>
      <c r="AO26" s="239"/>
      <c r="AP26" s="239"/>
      <c r="AQ26" s="239"/>
      <c r="AR26" s="244"/>
      <c r="AS26" s="244"/>
      <c r="AT26" s="244"/>
      <c r="AU26" s="244"/>
      <c r="AV26" s="244"/>
      <c r="AW26" s="244"/>
      <c r="AX26" s="244"/>
      <c r="AY26" s="244"/>
      <c r="AZ26" s="321" t="str">
        <f t="shared" si="37"/>
        <v>F2</v>
      </c>
      <c r="BA26" s="73">
        <f t="shared" si="38"/>
        <v>100</v>
      </c>
      <c r="BB26" s="322">
        <f t="shared" si="13"/>
        <v>4.223339563309281</v>
      </c>
      <c r="BC26" s="323">
        <f t="shared" si="1"/>
        <v>4.223339563309281</v>
      </c>
      <c r="BD26" s="235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319" t="str">
        <f t="shared" si="39"/>
        <v>F2</v>
      </c>
      <c r="BQ26" s="69">
        <f t="shared" si="14"/>
        <v>100</v>
      </c>
      <c r="BR26" s="320">
        <f t="shared" si="15"/>
        <v>100</v>
      </c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319" t="str">
        <f t="shared" si="40"/>
        <v>F2</v>
      </c>
      <c r="CE26" s="69">
        <f t="shared" si="16"/>
        <v>42.23339563309281</v>
      </c>
      <c r="CF26" s="320">
        <f t="shared" si="17"/>
        <v>4.223339563309281</v>
      </c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590">
        <f t="shared" si="18"/>
        <v>95.77666043669072</v>
      </c>
      <c r="CT26" s="253">
        <f t="shared" si="19"/>
        <v>0</v>
      </c>
      <c r="CU26" s="253">
        <f t="shared" si="20"/>
        <v>0</v>
      </c>
      <c r="CV26" s="591">
        <f t="shared" si="21"/>
        <v>0</v>
      </c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I26" s="596">
        <f t="shared" si="41"/>
        <v>4341.87</v>
      </c>
      <c r="EJ26" s="233">
        <f t="shared" si="22"/>
        <v>1</v>
      </c>
      <c r="EK26" s="233">
        <f t="shared" si="23"/>
        <v>3</v>
      </c>
      <c r="EL26" s="73">
        <f t="shared" si="24"/>
        <v>4341.87</v>
      </c>
      <c r="EP26" s="162">
        <f t="shared" si="25"/>
        <v>0</v>
      </c>
      <c r="EQ26" s="162">
        <f t="shared" si="42"/>
        <v>0</v>
      </c>
      <c r="ER26" s="162">
        <f t="shared" si="42"/>
        <v>0</v>
      </c>
      <c r="ES26" s="162">
        <f t="shared" si="42"/>
        <v>0</v>
      </c>
      <c r="ET26" s="162">
        <f t="shared" si="42"/>
        <v>0</v>
      </c>
      <c r="EU26" s="162">
        <f t="shared" si="42"/>
        <v>0</v>
      </c>
      <c r="EV26" s="162">
        <f t="shared" si="42"/>
        <v>0</v>
      </c>
      <c r="EW26" s="162">
        <f t="shared" si="42"/>
        <v>0</v>
      </c>
      <c r="EX26" s="162">
        <f t="shared" si="42"/>
        <v>0</v>
      </c>
      <c r="EY26" s="162">
        <f t="shared" si="42"/>
        <v>0</v>
      </c>
      <c r="EZ26" s="162">
        <f t="shared" si="42"/>
        <v>0</v>
      </c>
      <c r="FA26" s="162">
        <f t="shared" si="42"/>
        <v>0</v>
      </c>
      <c r="FB26" s="162">
        <f t="shared" si="43"/>
        <v>0</v>
      </c>
      <c r="FC26" s="162">
        <f t="shared" si="27"/>
        <v>0</v>
      </c>
      <c r="FD26" s="162">
        <f t="shared" si="44"/>
        <v>0</v>
      </c>
      <c r="FE26" s="163">
        <f t="shared" si="45"/>
        <v>100</v>
      </c>
      <c r="FF26" s="164"/>
      <c r="FG26" s="164"/>
      <c r="FH26" s="164"/>
      <c r="FI26" s="164"/>
      <c r="FJ26" s="164"/>
      <c r="FK26" s="164"/>
      <c r="FL26" s="165">
        <f t="shared" si="46"/>
        <v>289.46476252928846</v>
      </c>
      <c r="FM26" s="165">
        <f t="shared" si="47"/>
        <v>289.46476252928846</v>
      </c>
      <c r="FN26" s="162">
        <f t="shared" si="48"/>
        <v>1</v>
      </c>
      <c r="FO26" s="164"/>
    </row>
    <row r="27" spans="1:171" ht="12.75">
      <c r="A27" s="239"/>
      <c r="B27" s="166" t="s">
        <v>97</v>
      </c>
      <c r="C27" s="114">
        <v>10</v>
      </c>
      <c r="D27" s="233">
        <f t="shared" si="28"/>
        <v>51</v>
      </c>
      <c r="E27" s="157">
        <v>24</v>
      </c>
      <c r="F27" s="157">
        <v>29.3</v>
      </c>
      <c r="G27" s="114">
        <v>1</v>
      </c>
      <c r="H27" s="114">
        <v>1</v>
      </c>
      <c r="I27" s="665">
        <f t="shared" si="29"/>
      </c>
      <c r="J27" s="464">
        <f t="shared" si="2"/>
        <v>12.607441660671942</v>
      </c>
      <c r="K27" s="195">
        <f t="shared" si="3"/>
        <v>37.74688794667626</v>
      </c>
      <c r="L27" s="194">
        <f t="shared" si="4"/>
        <v>37.74688794667626</v>
      </c>
      <c r="M27" s="71">
        <f t="shared" si="5"/>
        <v>-8.44688794667626</v>
      </c>
      <c r="N27" s="71">
        <f t="shared" si="30"/>
        <v>-8.44688794667626</v>
      </c>
      <c r="O27" s="73">
        <f t="shared" si="31"/>
        <v>91.9000254709788</v>
      </c>
      <c r="P27" s="73">
        <f t="shared" si="32"/>
        <v>-8.099974529021196</v>
      </c>
      <c r="Q27" s="73"/>
      <c r="R27" s="71">
        <f t="shared" si="6"/>
        <v>37.39997452902119</v>
      </c>
      <c r="S27" s="71">
        <f t="shared" si="7"/>
        <v>0.3469134176550668</v>
      </c>
      <c r="T27" s="71">
        <f t="shared" si="33"/>
        <v>0</v>
      </c>
      <c r="U27" s="601"/>
      <c r="V27" s="596">
        <f t="shared" si="8"/>
        <v>0.9908094829394906</v>
      </c>
      <c r="W27" s="609">
        <f t="shared" si="9"/>
      </c>
      <c r="X27" s="605"/>
      <c r="Y27" s="670"/>
      <c r="Z27" s="25">
        <f t="shared" si="10"/>
        <v>-11.579036651251466</v>
      </c>
      <c r="AA27" s="25">
        <f t="shared" si="34"/>
        <v>94.55581245503956</v>
      </c>
      <c r="AB27" s="25">
        <f t="shared" si="35"/>
        <v>12.607441660671942</v>
      </c>
      <c r="AC27" s="25"/>
      <c r="AD27" s="203"/>
      <c r="AE27" s="203"/>
      <c r="AF27" s="203"/>
      <c r="AG27" s="620"/>
      <c r="AH27" s="69"/>
      <c r="AI27" s="69"/>
      <c r="AJ27" s="319" t="str">
        <f t="shared" si="36"/>
        <v>F3</v>
      </c>
      <c r="AK27" s="69">
        <f t="shared" si="11"/>
        <v>-0.3469134176550668</v>
      </c>
      <c r="AL27" s="320">
        <f t="shared" si="12"/>
        <v>0</v>
      </c>
      <c r="AM27" s="69"/>
      <c r="AN27" s="244"/>
      <c r="AO27" s="239"/>
      <c r="AP27" s="239"/>
      <c r="AQ27" s="239"/>
      <c r="AR27" s="244"/>
      <c r="AS27" s="244"/>
      <c r="AT27" s="244"/>
      <c r="AU27" s="244"/>
      <c r="AV27" s="244"/>
      <c r="AW27" s="244"/>
      <c r="AX27" s="244"/>
      <c r="AY27" s="244"/>
      <c r="AZ27" s="321" t="str">
        <f t="shared" si="37"/>
        <v>F3</v>
      </c>
      <c r="BA27" s="73">
        <f t="shared" si="38"/>
        <v>29.3</v>
      </c>
      <c r="BB27" s="322">
        <f t="shared" si="13"/>
        <v>37.74688794667626</v>
      </c>
      <c r="BC27" s="323">
        <f t="shared" si="1"/>
        <v>37.39997452902119</v>
      </c>
      <c r="BD27" s="235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319" t="str">
        <f t="shared" si="39"/>
        <v>F3</v>
      </c>
      <c r="BQ27" s="69">
        <f t="shared" si="14"/>
        <v>100</v>
      </c>
      <c r="BR27" s="320">
        <f t="shared" si="15"/>
        <v>91.9000254709788</v>
      </c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319" t="str">
        <f t="shared" si="40"/>
        <v>F3</v>
      </c>
      <c r="CE27" s="69">
        <f t="shared" si="16"/>
        <v>37.74688794667626</v>
      </c>
      <c r="CF27" s="320">
        <f t="shared" si="17"/>
        <v>37.74688794667626</v>
      </c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590">
        <f t="shared" si="18"/>
        <v>0</v>
      </c>
      <c r="CT27" s="253">
        <f t="shared" si="19"/>
        <v>-0.3469134176550668</v>
      </c>
      <c r="CU27" s="253">
        <f t="shared" si="20"/>
        <v>-8.099974529021196</v>
      </c>
      <c r="CV27" s="591">
        <f t="shared" si="21"/>
        <v>0</v>
      </c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I27" s="596">
        <f t="shared" si="41"/>
        <v>4301.9659696904855</v>
      </c>
      <c r="EJ27" s="233">
        <f t="shared" si="22"/>
        <v>0</v>
      </c>
      <c r="EK27" s="233">
        <f t="shared" si="23"/>
        <v>0</v>
      </c>
      <c r="EL27" s="73">
        <f t="shared" si="24"/>
      </c>
      <c r="EP27" s="162">
        <f t="shared" si="25"/>
        <v>1</v>
      </c>
      <c r="EQ27" s="162">
        <f t="shared" si="42"/>
        <v>0</v>
      </c>
      <c r="ER27" s="162">
        <f t="shared" si="42"/>
        <v>0</v>
      </c>
      <c r="ES27" s="162">
        <f t="shared" si="42"/>
        <v>0</v>
      </c>
      <c r="ET27" s="162">
        <f t="shared" si="42"/>
        <v>0</v>
      </c>
      <c r="EU27" s="162">
        <f t="shared" si="42"/>
        <v>0</v>
      </c>
      <c r="EV27" s="162">
        <f t="shared" si="42"/>
        <v>0</v>
      </c>
      <c r="EW27" s="162">
        <f t="shared" si="42"/>
        <v>0</v>
      </c>
      <c r="EX27" s="162">
        <f t="shared" si="42"/>
        <v>0</v>
      </c>
      <c r="EY27" s="162">
        <f t="shared" si="42"/>
        <v>0</v>
      </c>
      <c r="EZ27" s="162">
        <f t="shared" si="42"/>
        <v>0</v>
      </c>
      <c r="FA27" s="162">
        <f t="shared" si="42"/>
        <v>0</v>
      </c>
      <c r="FB27" s="162">
        <f t="shared" si="43"/>
        <v>0</v>
      </c>
      <c r="FC27" s="162">
        <f t="shared" si="27"/>
        <v>0</v>
      </c>
      <c r="FD27" s="162">
        <f t="shared" si="44"/>
        <v>1</v>
      </c>
      <c r="FE27" s="163">
        <f t="shared" si="45"/>
        <v>91.9000254709788</v>
      </c>
      <c r="FF27" s="164"/>
      <c r="FG27" s="164"/>
      <c r="FH27" s="164"/>
      <c r="FI27" s="164"/>
      <c r="FJ27" s="164"/>
      <c r="FK27" s="164"/>
      <c r="FL27" s="165">
        <f t="shared" si="46"/>
        <v>0</v>
      </c>
      <c r="FM27" s="165">
        <f t="shared" si="47"/>
        <v>289.46476252928846</v>
      </c>
      <c r="FN27" s="162">
        <f t="shared" si="48"/>
        <v>1</v>
      </c>
      <c r="FO27" s="164"/>
    </row>
    <row r="28" spans="1:171" ht="12.75">
      <c r="A28" s="239"/>
      <c r="B28" s="166" t="s">
        <v>98</v>
      </c>
      <c r="C28" s="114">
        <v>10</v>
      </c>
      <c r="D28" s="233">
        <f t="shared" si="28"/>
        <v>61</v>
      </c>
      <c r="E28" s="157">
        <v>24</v>
      </c>
      <c r="F28" s="169">
        <v>73.4</v>
      </c>
      <c r="G28" s="114">
        <v>1</v>
      </c>
      <c r="H28" s="114">
        <v>1</v>
      </c>
      <c r="I28" s="665">
        <f t="shared" si="29"/>
      </c>
      <c r="J28" s="464">
        <f t="shared" si="2"/>
        <v>12.411942428606716</v>
      </c>
      <c r="K28" s="195">
        <f t="shared" si="3"/>
        <v>37.16156002646488</v>
      </c>
      <c r="L28" s="194">
        <f t="shared" si="4"/>
        <v>37.16156002646488</v>
      </c>
      <c r="M28" s="71">
        <f t="shared" si="5"/>
        <v>36.23843997353512</v>
      </c>
      <c r="N28" s="71">
        <f t="shared" si="30"/>
        <v>0</v>
      </c>
      <c r="O28" s="73">
        <f t="shared" si="31"/>
        <v>100</v>
      </c>
      <c r="P28" s="73">
        <f t="shared" si="32"/>
        <v>8.099974529021196</v>
      </c>
      <c r="Q28" s="73"/>
      <c r="R28" s="71">
        <f t="shared" si="6"/>
        <v>37.16156002646488</v>
      </c>
      <c r="S28" s="71">
        <f t="shared" si="7"/>
        <v>0</v>
      </c>
      <c r="T28" s="71">
        <f t="shared" si="33"/>
        <v>28.138465444513926</v>
      </c>
      <c r="U28" s="601"/>
      <c r="V28" s="596">
        <f t="shared" si="8"/>
        <v>1</v>
      </c>
      <c r="W28" s="609">
        <f t="shared" si="9"/>
      </c>
      <c r="X28" s="605"/>
      <c r="Y28" s="670"/>
      <c r="Z28" s="25">
        <f t="shared" si="10"/>
        <v>-7.9149119954819565</v>
      </c>
      <c r="AA28" s="25">
        <f t="shared" si="34"/>
        <v>93.08956821455037</v>
      </c>
      <c r="AB28" s="25">
        <f t="shared" si="35"/>
        <v>12.411942428606716</v>
      </c>
      <c r="AC28" s="25"/>
      <c r="AD28" s="203"/>
      <c r="AE28" s="203"/>
      <c r="AF28" s="203"/>
      <c r="AG28" s="620"/>
      <c r="AH28" s="69"/>
      <c r="AI28" s="69"/>
      <c r="AJ28" s="319" t="str">
        <f t="shared" si="36"/>
        <v>M1</v>
      </c>
      <c r="AK28" s="69">
        <f t="shared" si="11"/>
        <v>0</v>
      </c>
      <c r="AL28" s="320">
        <f t="shared" si="12"/>
        <v>28.138465444513926</v>
      </c>
      <c r="AM28" s="69"/>
      <c r="AN28" s="244"/>
      <c r="AO28" s="239"/>
      <c r="AP28" s="239"/>
      <c r="AQ28" s="239"/>
      <c r="AR28" s="244"/>
      <c r="AS28" s="244"/>
      <c r="AT28" s="244"/>
      <c r="AU28" s="244"/>
      <c r="AV28" s="244"/>
      <c r="AW28" s="244"/>
      <c r="AX28" s="244"/>
      <c r="AY28" s="244"/>
      <c r="AZ28" s="321" t="str">
        <f t="shared" si="37"/>
        <v>M1</v>
      </c>
      <c r="BA28" s="73">
        <f t="shared" si="38"/>
        <v>73.4</v>
      </c>
      <c r="BB28" s="322">
        <f t="shared" si="13"/>
        <v>37.16156002646488</v>
      </c>
      <c r="BC28" s="323">
        <f t="shared" si="1"/>
        <v>37.16156002646488</v>
      </c>
      <c r="BD28" s="235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319" t="str">
        <f t="shared" si="39"/>
        <v>M1</v>
      </c>
      <c r="BQ28" s="69">
        <f t="shared" si="14"/>
        <v>100</v>
      </c>
      <c r="BR28" s="320">
        <f t="shared" si="15"/>
        <v>100</v>
      </c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319" t="str">
        <f t="shared" si="40"/>
        <v>M1</v>
      </c>
      <c r="CE28" s="69">
        <f t="shared" si="16"/>
        <v>37.16156002646488</v>
      </c>
      <c r="CF28" s="320">
        <f t="shared" si="17"/>
        <v>37.16156002646488</v>
      </c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590">
        <f t="shared" si="18"/>
        <v>28.138465444513926</v>
      </c>
      <c r="CT28" s="253">
        <f t="shared" si="19"/>
        <v>0</v>
      </c>
      <c r="CU28" s="253">
        <f t="shared" si="20"/>
        <v>0</v>
      </c>
      <c r="CV28" s="591">
        <f t="shared" si="21"/>
        <v>8.099974529021196</v>
      </c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I28" s="596">
        <f t="shared" si="41"/>
        <v>4301.9659696904855</v>
      </c>
      <c r="EJ28" s="233">
        <f t="shared" si="22"/>
        <v>0</v>
      </c>
      <c r="EK28" s="233">
        <f t="shared" si="23"/>
        <v>0</v>
      </c>
      <c r="EL28" s="73">
        <f t="shared" si="24"/>
      </c>
      <c r="EP28" s="162">
        <f t="shared" si="25"/>
        <v>0</v>
      </c>
      <c r="EQ28" s="162">
        <f t="shared" si="42"/>
        <v>1</v>
      </c>
      <c r="ER28" s="162">
        <f t="shared" si="42"/>
        <v>0</v>
      </c>
      <c r="ES28" s="162">
        <f t="shared" si="42"/>
        <v>0</v>
      </c>
      <c r="ET28" s="162">
        <f t="shared" si="42"/>
        <v>0</v>
      </c>
      <c r="EU28" s="162">
        <f t="shared" si="42"/>
        <v>0</v>
      </c>
      <c r="EV28" s="162">
        <f t="shared" si="42"/>
        <v>0</v>
      </c>
      <c r="EW28" s="162">
        <f t="shared" si="42"/>
        <v>0</v>
      </c>
      <c r="EX28" s="162">
        <f t="shared" si="42"/>
        <v>0</v>
      </c>
      <c r="EY28" s="162">
        <f t="shared" si="42"/>
        <v>0</v>
      </c>
      <c r="EZ28" s="162">
        <f t="shared" si="42"/>
        <v>0</v>
      </c>
      <c r="FA28" s="162">
        <f t="shared" si="42"/>
        <v>0</v>
      </c>
      <c r="FB28" s="162">
        <f t="shared" si="43"/>
        <v>0</v>
      </c>
      <c r="FC28" s="162">
        <f t="shared" si="27"/>
        <v>0</v>
      </c>
      <c r="FD28" s="162">
        <f t="shared" si="44"/>
        <v>1</v>
      </c>
      <c r="FE28" s="163">
        <f t="shared" si="45"/>
        <v>128.13846544451394</v>
      </c>
      <c r="FF28" s="164"/>
      <c r="FG28" s="164"/>
      <c r="FH28" s="164"/>
      <c r="FI28" s="164"/>
      <c r="FJ28" s="164"/>
      <c r="FK28" s="164"/>
      <c r="FL28" s="165">
        <f t="shared" si="46"/>
        <v>36.23843997353512</v>
      </c>
      <c r="FM28" s="165">
        <f t="shared" si="47"/>
        <v>325.7032025028236</v>
      </c>
      <c r="FN28" s="162">
        <f t="shared" si="48"/>
        <v>1</v>
      </c>
      <c r="FO28" s="164"/>
    </row>
    <row r="29" spans="1:171" ht="12.75">
      <c r="A29" s="239"/>
      <c r="B29" s="166" t="s">
        <v>99</v>
      </c>
      <c r="C29" s="114">
        <v>10</v>
      </c>
      <c r="D29" s="233">
        <f t="shared" si="28"/>
        <v>71</v>
      </c>
      <c r="E29" s="157">
        <v>23.5</v>
      </c>
      <c r="F29" s="169">
        <v>41.2</v>
      </c>
      <c r="G29" s="114">
        <v>1</v>
      </c>
      <c r="H29" s="114">
        <v>1</v>
      </c>
      <c r="I29" s="665">
        <f t="shared" si="29"/>
      </c>
      <c r="J29" s="464">
        <f t="shared" si="2"/>
        <v>12.207995456429867</v>
      </c>
      <c r="K29" s="195">
        <f t="shared" si="3"/>
        <v>34.74996992277059</v>
      </c>
      <c r="L29" s="194">
        <f t="shared" si="4"/>
        <v>34.74996992277059</v>
      </c>
      <c r="M29" s="71">
        <f t="shared" si="5"/>
        <v>6.450030077229414</v>
      </c>
      <c r="N29" s="71">
        <f t="shared" si="30"/>
        <v>0</v>
      </c>
      <c r="O29" s="73">
        <f t="shared" si="31"/>
        <v>100</v>
      </c>
      <c r="P29" s="73">
        <f t="shared" si="32"/>
        <v>0</v>
      </c>
      <c r="Q29" s="73"/>
      <c r="R29" s="71">
        <f t="shared" si="6"/>
        <v>34.74996992277059</v>
      </c>
      <c r="S29" s="71">
        <f t="shared" si="7"/>
        <v>0</v>
      </c>
      <c r="T29" s="71">
        <f t="shared" si="33"/>
        <v>6.450030077229414</v>
      </c>
      <c r="U29" s="601"/>
      <c r="V29" s="596">
        <f t="shared" si="8"/>
        <v>1</v>
      </c>
      <c r="W29" s="609">
        <f t="shared" si="9"/>
      </c>
      <c r="X29" s="605"/>
      <c r="Y29" s="670"/>
      <c r="Z29" s="25">
        <f t="shared" si="10"/>
        <v>-4.016824231055649</v>
      </c>
      <c r="AA29" s="25">
        <f t="shared" si="34"/>
        <v>91.559965923224</v>
      </c>
      <c r="AB29" s="25">
        <f t="shared" si="35"/>
        <v>12.207995456429867</v>
      </c>
      <c r="AC29" s="25"/>
      <c r="AD29" s="203"/>
      <c r="AE29" s="203"/>
      <c r="AF29" s="203"/>
      <c r="AG29" s="620"/>
      <c r="AH29" s="69"/>
      <c r="AI29" s="69"/>
      <c r="AJ29" s="319" t="str">
        <f t="shared" si="36"/>
        <v>M2</v>
      </c>
      <c r="AK29" s="69">
        <f t="shared" si="11"/>
        <v>0</v>
      </c>
      <c r="AL29" s="320">
        <f t="shared" si="12"/>
        <v>6.450030077229414</v>
      </c>
      <c r="AM29" s="69"/>
      <c r="AN29" s="244"/>
      <c r="AO29" s="239"/>
      <c r="AP29" s="239"/>
      <c r="AQ29" s="239"/>
      <c r="AR29" s="244"/>
      <c r="AS29" s="244"/>
      <c r="AT29" s="244"/>
      <c r="AU29" s="244"/>
      <c r="AV29" s="244"/>
      <c r="AW29" s="244"/>
      <c r="AX29" s="244"/>
      <c r="AY29" s="244"/>
      <c r="AZ29" s="321" t="str">
        <f t="shared" si="37"/>
        <v>M2</v>
      </c>
      <c r="BA29" s="73">
        <f t="shared" si="38"/>
        <v>41.2</v>
      </c>
      <c r="BB29" s="322">
        <f t="shared" si="13"/>
        <v>34.74996992277059</v>
      </c>
      <c r="BC29" s="323">
        <f t="shared" si="1"/>
        <v>34.74996992277059</v>
      </c>
      <c r="BD29" s="235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319" t="str">
        <f t="shared" si="39"/>
        <v>M2</v>
      </c>
      <c r="BQ29" s="69">
        <f t="shared" si="14"/>
        <v>100</v>
      </c>
      <c r="BR29" s="320">
        <f t="shared" si="15"/>
        <v>100</v>
      </c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319" t="str">
        <f t="shared" si="40"/>
        <v>M2</v>
      </c>
      <c r="CE29" s="69">
        <f t="shared" si="16"/>
        <v>34.74996992277059</v>
      </c>
      <c r="CF29" s="320">
        <f t="shared" si="17"/>
        <v>34.74996992277059</v>
      </c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590">
        <f t="shared" si="18"/>
        <v>6.450030077229414</v>
      </c>
      <c r="CT29" s="253">
        <f t="shared" si="19"/>
        <v>0</v>
      </c>
      <c r="CU29" s="253">
        <f t="shared" si="20"/>
        <v>0</v>
      </c>
      <c r="CV29" s="591">
        <f t="shared" si="21"/>
        <v>0</v>
      </c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I29" s="596">
        <f t="shared" si="41"/>
        <v>4301.9659696904855</v>
      </c>
      <c r="EJ29" s="233">
        <f t="shared" si="22"/>
        <v>0</v>
      </c>
      <c r="EK29" s="233">
        <f t="shared" si="23"/>
        <v>0</v>
      </c>
      <c r="EL29" s="73">
        <f t="shared" si="24"/>
      </c>
      <c r="EP29" s="162">
        <f t="shared" si="25"/>
        <v>0</v>
      </c>
      <c r="EQ29" s="162">
        <f t="shared" si="42"/>
        <v>0</v>
      </c>
      <c r="ER29" s="162">
        <f t="shared" si="42"/>
        <v>1</v>
      </c>
      <c r="ES29" s="162">
        <f t="shared" si="42"/>
        <v>0</v>
      </c>
      <c r="ET29" s="162">
        <f t="shared" si="42"/>
        <v>0</v>
      </c>
      <c r="EU29" s="162">
        <f t="shared" si="42"/>
        <v>0</v>
      </c>
      <c r="EV29" s="162">
        <f t="shared" si="42"/>
        <v>0</v>
      </c>
      <c r="EW29" s="162">
        <f t="shared" si="42"/>
        <v>0</v>
      </c>
      <c r="EX29" s="162">
        <f t="shared" si="42"/>
        <v>0</v>
      </c>
      <c r="EY29" s="162">
        <f t="shared" si="42"/>
        <v>0</v>
      </c>
      <c r="EZ29" s="162">
        <f t="shared" si="42"/>
        <v>0</v>
      </c>
      <c r="FA29" s="162">
        <f t="shared" si="42"/>
        <v>0</v>
      </c>
      <c r="FB29" s="162">
        <f t="shared" si="43"/>
        <v>0</v>
      </c>
      <c r="FC29" s="162">
        <f t="shared" si="27"/>
        <v>0</v>
      </c>
      <c r="FD29" s="162">
        <f t="shared" si="44"/>
        <v>1</v>
      </c>
      <c r="FE29" s="163">
        <f t="shared" si="45"/>
        <v>134.58849552174337</v>
      </c>
      <c r="FF29" s="164"/>
      <c r="FG29" s="164"/>
      <c r="FH29" s="164"/>
      <c r="FI29" s="164"/>
      <c r="FJ29" s="164"/>
      <c r="FK29" s="164"/>
      <c r="FL29" s="165">
        <f t="shared" si="46"/>
        <v>42.688470050764536</v>
      </c>
      <c r="FM29" s="165">
        <f t="shared" si="47"/>
        <v>332.15323258005304</v>
      </c>
      <c r="FN29" s="162">
        <f t="shared" si="48"/>
        <v>1</v>
      </c>
      <c r="FO29" s="164"/>
    </row>
    <row r="30" spans="1:171" ht="12.75">
      <c r="A30" s="239"/>
      <c r="B30" s="166" t="s">
        <v>100</v>
      </c>
      <c r="C30" s="114">
        <v>11</v>
      </c>
      <c r="D30" s="233">
        <f t="shared" si="28"/>
        <v>81</v>
      </c>
      <c r="E30" s="157">
        <v>22</v>
      </c>
      <c r="F30" s="169">
        <v>28</v>
      </c>
      <c r="G30" s="114">
        <v>1</v>
      </c>
      <c r="H30" s="114">
        <v>1</v>
      </c>
      <c r="I30" s="665">
        <f t="shared" si="29"/>
      </c>
      <c r="J30" s="464">
        <f t="shared" si="2"/>
        <v>12</v>
      </c>
      <c r="K30" s="195">
        <f t="shared" si="3"/>
        <v>32.072703528465</v>
      </c>
      <c r="L30" s="194">
        <f t="shared" si="4"/>
        <v>32.072703528465</v>
      </c>
      <c r="M30" s="71">
        <f t="shared" si="5"/>
        <v>-4.072703528464999</v>
      </c>
      <c r="N30" s="71">
        <f t="shared" si="30"/>
        <v>-4.072703528464999</v>
      </c>
      <c r="O30" s="73">
        <f t="shared" si="31"/>
        <v>96.00911651946011</v>
      </c>
      <c r="P30" s="73">
        <f t="shared" si="32"/>
        <v>-3.9908834805398925</v>
      </c>
      <c r="Q30" s="73"/>
      <c r="R30" s="71">
        <f t="shared" si="6"/>
        <v>31.990883480539893</v>
      </c>
      <c r="S30" s="71">
        <f t="shared" si="7"/>
        <v>0.08182004792510611</v>
      </c>
      <c r="T30" s="71">
        <f t="shared" si="33"/>
        <v>0</v>
      </c>
      <c r="U30" s="601"/>
      <c r="V30" s="596">
        <f aca="true" t="shared" si="49" ref="V30:V61">R30/L30</f>
        <v>0.9974489195196006</v>
      </c>
      <c r="W30" s="609">
        <f t="shared" si="9"/>
      </c>
      <c r="X30" s="605"/>
      <c r="Y30" s="670"/>
      <c r="Z30" s="25">
        <f t="shared" si="10"/>
        <v>0</v>
      </c>
      <c r="AA30" s="25">
        <f t="shared" si="34"/>
        <v>90</v>
      </c>
      <c r="AB30" s="25">
        <f t="shared" si="35"/>
        <v>12</v>
      </c>
      <c r="AC30" s="25"/>
      <c r="AD30" s="203"/>
      <c r="AE30" s="203"/>
      <c r="AF30" s="203"/>
      <c r="AG30" s="620"/>
      <c r="AH30" s="69"/>
      <c r="AI30" s="69"/>
      <c r="AJ30" s="319" t="str">
        <f t="shared" si="36"/>
        <v>M3</v>
      </c>
      <c r="AK30" s="69">
        <f t="shared" si="11"/>
        <v>-0.08182004792510611</v>
      </c>
      <c r="AL30" s="320">
        <f t="shared" si="12"/>
        <v>0</v>
      </c>
      <c r="AM30" s="69"/>
      <c r="AN30" s="244"/>
      <c r="AO30" s="239"/>
      <c r="AP30" s="239"/>
      <c r="AQ30" s="239"/>
      <c r="AR30" s="244"/>
      <c r="AS30" s="244"/>
      <c r="AT30" s="244"/>
      <c r="AU30" s="244"/>
      <c r="AV30" s="244"/>
      <c r="AW30" s="244"/>
      <c r="AX30" s="244"/>
      <c r="AY30" s="244"/>
      <c r="AZ30" s="321" t="str">
        <f t="shared" si="37"/>
        <v>M3</v>
      </c>
      <c r="BA30" s="73">
        <f t="shared" si="38"/>
        <v>28</v>
      </c>
      <c r="BB30" s="322">
        <f t="shared" si="13"/>
        <v>32.072703528465</v>
      </c>
      <c r="BC30" s="323">
        <f t="shared" si="1"/>
        <v>31.990883480539893</v>
      </c>
      <c r="BD30" s="235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319" t="str">
        <f t="shared" si="39"/>
        <v>M3</v>
      </c>
      <c r="BQ30" s="69">
        <f t="shared" si="14"/>
        <v>100</v>
      </c>
      <c r="BR30" s="320">
        <f t="shared" si="15"/>
        <v>96.00911651946011</v>
      </c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319" t="str">
        <f t="shared" si="40"/>
        <v>M3</v>
      </c>
      <c r="CE30" s="69">
        <f t="shared" si="16"/>
        <v>32.072703528465</v>
      </c>
      <c r="CF30" s="320">
        <f t="shared" si="17"/>
        <v>32.072703528465</v>
      </c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590">
        <f t="shared" si="18"/>
        <v>0</v>
      </c>
      <c r="CT30" s="253">
        <f t="shared" si="19"/>
        <v>-0.08182004792510611</v>
      </c>
      <c r="CU30" s="253">
        <f t="shared" si="20"/>
        <v>-3.9908834805398925</v>
      </c>
      <c r="CV30" s="591">
        <f t="shared" si="21"/>
        <v>0</v>
      </c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I30" s="596">
        <f t="shared" si="41"/>
        <v>4290.991308277866</v>
      </c>
      <c r="EJ30" s="233">
        <f t="shared" si="22"/>
        <v>0</v>
      </c>
      <c r="EK30" s="233">
        <f t="shared" si="23"/>
        <v>0</v>
      </c>
      <c r="EL30" s="73">
        <f t="shared" si="24"/>
      </c>
      <c r="EP30" s="162">
        <f t="shared" si="25"/>
        <v>1</v>
      </c>
      <c r="EQ30" s="162">
        <f t="shared" si="42"/>
        <v>0</v>
      </c>
      <c r="ER30" s="162">
        <f t="shared" si="42"/>
        <v>0</v>
      </c>
      <c r="ES30" s="162">
        <f t="shared" si="42"/>
        <v>1</v>
      </c>
      <c r="ET30" s="162">
        <f t="shared" si="42"/>
        <v>0</v>
      </c>
      <c r="EU30" s="162">
        <f t="shared" si="42"/>
        <v>0</v>
      </c>
      <c r="EV30" s="162">
        <f t="shared" si="42"/>
        <v>0</v>
      </c>
      <c r="EW30" s="162">
        <f t="shared" si="42"/>
        <v>0</v>
      </c>
      <c r="EX30" s="162">
        <f t="shared" si="42"/>
        <v>0</v>
      </c>
      <c r="EY30" s="162">
        <f t="shared" si="42"/>
        <v>0</v>
      </c>
      <c r="EZ30" s="162">
        <f t="shared" si="42"/>
        <v>0</v>
      </c>
      <c r="FA30" s="162">
        <f t="shared" si="42"/>
        <v>0</v>
      </c>
      <c r="FB30" s="162">
        <f t="shared" si="43"/>
        <v>0</v>
      </c>
      <c r="FC30" s="162">
        <f t="shared" si="27"/>
        <v>0</v>
      </c>
      <c r="FD30" s="162">
        <f t="shared" si="44"/>
        <v>1</v>
      </c>
      <c r="FE30" s="163">
        <f t="shared" si="45"/>
        <v>96.00911651946011</v>
      </c>
      <c r="FF30" s="164"/>
      <c r="FG30" s="164"/>
      <c r="FH30" s="164"/>
      <c r="FI30" s="164"/>
      <c r="FJ30" s="164"/>
      <c r="FK30" s="164"/>
      <c r="FL30" s="165">
        <f t="shared" si="46"/>
        <v>0</v>
      </c>
      <c r="FM30" s="165">
        <f t="shared" si="47"/>
        <v>332.15323258005304</v>
      </c>
      <c r="FN30" s="162">
        <f t="shared" si="48"/>
        <v>1</v>
      </c>
      <c r="FO30" s="164"/>
    </row>
    <row r="31" spans="1:171" ht="12.75">
      <c r="A31" s="239"/>
      <c r="B31" s="166" t="s">
        <v>101</v>
      </c>
      <c r="C31" s="114">
        <v>10</v>
      </c>
      <c r="D31" s="233">
        <f t="shared" si="28"/>
        <v>92</v>
      </c>
      <c r="E31" s="157">
        <v>21.8</v>
      </c>
      <c r="F31" s="157">
        <v>33.4</v>
      </c>
      <c r="G31" s="114">
        <v>1</v>
      </c>
      <c r="H31" s="114">
        <v>1</v>
      </c>
      <c r="I31" s="665">
        <f t="shared" si="29"/>
      </c>
      <c r="J31" s="464">
        <f t="shared" si="2"/>
        <v>11.771358898565289</v>
      </c>
      <c r="K31" s="195">
        <f t="shared" si="3"/>
        <v>27.98139681488209</v>
      </c>
      <c r="L31" s="194">
        <f t="shared" si="4"/>
        <v>27.98139681488209</v>
      </c>
      <c r="M31" s="71">
        <f t="shared" si="5"/>
        <v>5.4186031851179095</v>
      </c>
      <c r="N31" s="71">
        <f t="shared" si="30"/>
        <v>0</v>
      </c>
      <c r="O31" s="73">
        <f t="shared" si="31"/>
        <v>100</v>
      </c>
      <c r="P31" s="73">
        <f t="shared" si="32"/>
        <v>3.9908834805398925</v>
      </c>
      <c r="Q31" s="73"/>
      <c r="R31" s="71">
        <f t="shared" si="6"/>
        <v>27.98139681488209</v>
      </c>
      <c r="S31" s="71">
        <f t="shared" si="7"/>
        <v>0</v>
      </c>
      <c r="T31" s="71">
        <f t="shared" si="33"/>
        <v>1.427719704578017</v>
      </c>
      <c r="U31" s="601"/>
      <c r="V31" s="596">
        <f t="shared" si="49"/>
        <v>1</v>
      </c>
      <c r="W31" s="609">
        <f t="shared" si="9"/>
      </c>
      <c r="X31" s="605"/>
      <c r="Y31" s="670"/>
      <c r="Z31" s="25">
        <f t="shared" si="10"/>
        <v>4.413916345824076</v>
      </c>
      <c r="AA31" s="25">
        <f t="shared" si="34"/>
        <v>88.28519173923966</v>
      </c>
      <c r="AB31" s="25">
        <f t="shared" si="35"/>
        <v>11.771358898565289</v>
      </c>
      <c r="AC31" s="25"/>
      <c r="AD31" s="203"/>
      <c r="AE31" s="203"/>
      <c r="AF31" s="203"/>
      <c r="AG31" s="620"/>
      <c r="AH31" s="69"/>
      <c r="AI31" s="69"/>
      <c r="AJ31" s="319" t="str">
        <f t="shared" si="36"/>
        <v>A1</v>
      </c>
      <c r="AK31" s="69">
        <f t="shared" si="11"/>
        <v>0</v>
      </c>
      <c r="AL31" s="320">
        <f t="shared" si="12"/>
        <v>1.427719704578017</v>
      </c>
      <c r="AM31" s="69"/>
      <c r="AN31" s="244"/>
      <c r="AO31" s="239"/>
      <c r="AP31" s="239"/>
      <c r="AQ31" s="239"/>
      <c r="AR31" s="244"/>
      <c r="AS31" s="244"/>
      <c r="AT31" s="244"/>
      <c r="AU31" s="244"/>
      <c r="AV31" s="244"/>
      <c r="AW31" s="244"/>
      <c r="AX31" s="244"/>
      <c r="AY31" s="244"/>
      <c r="AZ31" s="321" t="str">
        <f t="shared" si="37"/>
        <v>A1</v>
      </c>
      <c r="BA31" s="73">
        <f t="shared" si="38"/>
        <v>33.4</v>
      </c>
      <c r="BB31" s="322">
        <f t="shared" si="13"/>
        <v>27.98139681488209</v>
      </c>
      <c r="BC31" s="323">
        <f t="shared" si="1"/>
        <v>27.98139681488209</v>
      </c>
      <c r="BD31" s="235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319" t="str">
        <f t="shared" si="39"/>
        <v>A1</v>
      </c>
      <c r="BQ31" s="69">
        <f t="shared" si="14"/>
        <v>100</v>
      </c>
      <c r="BR31" s="320">
        <f t="shared" si="15"/>
        <v>100</v>
      </c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319" t="str">
        <f t="shared" si="40"/>
        <v>A1</v>
      </c>
      <c r="CE31" s="69">
        <f t="shared" si="16"/>
        <v>27.98139681488209</v>
      </c>
      <c r="CF31" s="320">
        <f t="shared" si="17"/>
        <v>27.98139681488209</v>
      </c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590">
        <f t="shared" si="18"/>
        <v>1.427719704578017</v>
      </c>
      <c r="CT31" s="253">
        <f t="shared" si="19"/>
        <v>0</v>
      </c>
      <c r="CU31" s="253">
        <f t="shared" si="20"/>
        <v>0</v>
      </c>
      <c r="CV31" s="591">
        <f t="shared" si="21"/>
        <v>3.9908834805398925</v>
      </c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I31" s="596">
        <f t="shared" si="41"/>
        <v>4290.991308277866</v>
      </c>
      <c r="EJ31" s="233">
        <f t="shared" si="22"/>
        <v>0</v>
      </c>
      <c r="EK31" s="233">
        <f t="shared" si="23"/>
        <v>0</v>
      </c>
      <c r="EL31" s="73">
        <f t="shared" si="24"/>
      </c>
      <c r="EP31" s="162">
        <f t="shared" si="25"/>
        <v>0</v>
      </c>
      <c r="EQ31" s="162">
        <f t="shared" si="42"/>
        <v>1</v>
      </c>
      <c r="ER31" s="162">
        <f t="shared" si="42"/>
        <v>0</v>
      </c>
      <c r="ES31" s="162">
        <f t="shared" si="42"/>
        <v>0</v>
      </c>
      <c r="ET31" s="162">
        <f t="shared" si="42"/>
        <v>1</v>
      </c>
      <c r="EU31" s="162">
        <f t="shared" si="42"/>
        <v>0</v>
      </c>
      <c r="EV31" s="162">
        <f t="shared" si="42"/>
        <v>0</v>
      </c>
      <c r="EW31" s="162">
        <f t="shared" si="42"/>
        <v>0</v>
      </c>
      <c r="EX31" s="162">
        <f t="shared" si="42"/>
        <v>0</v>
      </c>
      <c r="EY31" s="162">
        <f t="shared" si="42"/>
        <v>0</v>
      </c>
      <c r="EZ31" s="162">
        <f t="shared" si="42"/>
        <v>0</v>
      </c>
      <c r="FA31" s="162">
        <f t="shared" si="42"/>
        <v>0</v>
      </c>
      <c r="FB31" s="162">
        <f t="shared" si="43"/>
        <v>0</v>
      </c>
      <c r="FC31" s="162">
        <f t="shared" si="27"/>
        <v>0</v>
      </c>
      <c r="FD31" s="162">
        <f t="shared" si="44"/>
        <v>1</v>
      </c>
      <c r="FE31" s="163">
        <f t="shared" si="45"/>
        <v>101.42771970457801</v>
      </c>
      <c r="FF31" s="164"/>
      <c r="FG31" s="164"/>
      <c r="FH31" s="164"/>
      <c r="FI31" s="164"/>
      <c r="FJ31" s="164"/>
      <c r="FK31" s="164"/>
      <c r="FL31" s="165">
        <f t="shared" si="46"/>
        <v>5.4186031851179095</v>
      </c>
      <c r="FM31" s="165">
        <f t="shared" si="47"/>
        <v>337.57183576517093</v>
      </c>
      <c r="FN31" s="162">
        <f t="shared" si="48"/>
        <v>1</v>
      </c>
      <c r="FO31" s="164"/>
    </row>
    <row r="32" spans="1:171" ht="12.75">
      <c r="A32" s="239"/>
      <c r="B32" s="166" t="s">
        <v>102</v>
      </c>
      <c r="C32" s="114">
        <v>10</v>
      </c>
      <c r="D32" s="233">
        <f t="shared" si="28"/>
        <v>102</v>
      </c>
      <c r="E32" s="157">
        <v>21</v>
      </c>
      <c r="F32" s="157">
        <v>21.9</v>
      </c>
      <c r="G32" s="114">
        <v>1</v>
      </c>
      <c r="H32" s="114">
        <v>1</v>
      </c>
      <c r="I32" s="665">
        <f t="shared" si="29"/>
      </c>
      <c r="J32" s="464">
        <f t="shared" si="2"/>
        <v>11.568050211387527</v>
      </c>
      <c r="K32" s="195">
        <f t="shared" si="3"/>
        <v>25.138171048041322</v>
      </c>
      <c r="L32" s="194">
        <f t="shared" si="4"/>
        <v>25.138171048041322</v>
      </c>
      <c r="M32" s="71">
        <f t="shared" si="5"/>
        <v>-3.2381710480413233</v>
      </c>
      <c r="N32" s="71">
        <f t="shared" si="30"/>
        <v>-3.2381710480413233</v>
      </c>
      <c r="O32" s="73">
        <f t="shared" si="31"/>
        <v>96.81369635145965</v>
      </c>
      <c r="P32" s="73">
        <f t="shared" si="32"/>
        <v>-3.1863036485403455</v>
      </c>
      <c r="Q32" s="73"/>
      <c r="R32" s="71">
        <f t="shared" si="6"/>
        <v>25.086303648540344</v>
      </c>
      <c r="S32" s="71">
        <f t="shared" si="7"/>
        <v>0.05186739950097774</v>
      </c>
      <c r="T32" s="71">
        <f t="shared" si="33"/>
        <v>0</v>
      </c>
      <c r="U32" s="601"/>
      <c r="V32" s="596">
        <f t="shared" si="49"/>
        <v>0.9979367075113836</v>
      </c>
      <c r="W32" s="609">
        <f t="shared" si="9"/>
      </c>
      <c r="X32" s="605"/>
      <c r="Y32" s="670"/>
      <c r="Z32" s="25">
        <f t="shared" si="10"/>
        <v>8.293705065035914</v>
      </c>
      <c r="AA32" s="25">
        <f t="shared" si="34"/>
        <v>86.76037658540646</v>
      </c>
      <c r="AB32" s="25">
        <f t="shared" si="35"/>
        <v>11.568050211387527</v>
      </c>
      <c r="AC32" s="25"/>
      <c r="AD32" s="203"/>
      <c r="AE32" s="203"/>
      <c r="AF32" s="203"/>
      <c r="AG32" s="620"/>
      <c r="AH32" s="69"/>
      <c r="AI32" s="69"/>
      <c r="AJ32" s="319" t="str">
        <f t="shared" si="36"/>
        <v>A2</v>
      </c>
      <c r="AK32" s="69">
        <f t="shared" si="11"/>
        <v>-0.05186739950097774</v>
      </c>
      <c r="AL32" s="320">
        <f t="shared" si="12"/>
        <v>0</v>
      </c>
      <c r="AM32" s="69"/>
      <c r="AN32" s="244"/>
      <c r="AO32" s="239"/>
      <c r="AP32" s="239"/>
      <c r="AQ32" s="239"/>
      <c r="AR32" s="244"/>
      <c r="AS32" s="244"/>
      <c r="AT32" s="244"/>
      <c r="AU32" s="244"/>
      <c r="AV32" s="244"/>
      <c r="AW32" s="244"/>
      <c r="AX32" s="244"/>
      <c r="AY32" s="244"/>
      <c r="AZ32" s="321" t="str">
        <f t="shared" si="37"/>
        <v>A2</v>
      </c>
      <c r="BA32" s="73">
        <f t="shared" si="38"/>
        <v>21.9</v>
      </c>
      <c r="BB32" s="322">
        <f t="shared" si="13"/>
        <v>25.138171048041322</v>
      </c>
      <c r="BC32" s="323">
        <f t="shared" si="1"/>
        <v>25.086303648540344</v>
      </c>
      <c r="BD32" s="235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319" t="str">
        <f t="shared" si="39"/>
        <v>A2</v>
      </c>
      <c r="BQ32" s="69">
        <f t="shared" si="14"/>
        <v>100</v>
      </c>
      <c r="BR32" s="320">
        <f t="shared" si="15"/>
        <v>96.81369635145965</v>
      </c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319" t="str">
        <f t="shared" si="40"/>
        <v>A2</v>
      </c>
      <c r="CE32" s="69">
        <f t="shared" si="16"/>
        <v>25.138171048041322</v>
      </c>
      <c r="CF32" s="320">
        <f t="shared" si="17"/>
        <v>25.138171048041322</v>
      </c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590">
        <f t="shared" si="18"/>
        <v>0</v>
      </c>
      <c r="CT32" s="253">
        <f t="shared" si="19"/>
        <v>-0.05186739950097774</v>
      </c>
      <c r="CU32" s="253">
        <f t="shared" si="20"/>
        <v>-3.1863036485403455</v>
      </c>
      <c r="CV32" s="591">
        <f t="shared" si="21"/>
        <v>0</v>
      </c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I32" s="596">
        <f t="shared" si="41"/>
        <v>4282.137738142778</v>
      </c>
      <c r="EJ32" s="233">
        <f t="shared" si="22"/>
        <v>0</v>
      </c>
      <c r="EK32" s="233">
        <f t="shared" si="23"/>
        <v>0</v>
      </c>
      <c r="EL32" s="73">
        <f t="shared" si="24"/>
      </c>
      <c r="EP32" s="162">
        <f t="shared" si="25"/>
        <v>1</v>
      </c>
      <c r="EQ32" s="162">
        <f t="shared" si="42"/>
        <v>0</v>
      </c>
      <c r="ER32" s="162">
        <f t="shared" si="42"/>
        <v>1</v>
      </c>
      <c r="ES32" s="162">
        <f t="shared" si="42"/>
        <v>0</v>
      </c>
      <c r="ET32" s="162">
        <f t="shared" si="42"/>
        <v>0</v>
      </c>
      <c r="EU32" s="162">
        <f t="shared" si="42"/>
        <v>1</v>
      </c>
      <c r="EV32" s="162">
        <f t="shared" si="42"/>
        <v>0</v>
      </c>
      <c r="EW32" s="162">
        <f t="shared" si="42"/>
        <v>0</v>
      </c>
      <c r="EX32" s="162">
        <f t="shared" si="42"/>
        <v>0</v>
      </c>
      <c r="EY32" s="162">
        <f t="shared" si="42"/>
        <v>0</v>
      </c>
      <c r="EZ32" s="162">
        <f t="shared" si="42"/>
        <v>0</v>
      </c>
      <c r="FA32" s="162">
        <f t="shared" si="42"/>
        <v>0</v>
      </c>
      <c r="FB32" s="162">
        <f t="shared" si="43"/>
        <v>0</v>
      </c>
      <c r="FC32" s="162">
        <f t="shared" si="27"/>
        <v>0</v>
      </c>
      <c r="FD32" s="162">
        <f t="shared" si="44"/>
        <v>1</v>
      </c>
      <c r="FE32" s="163">
        <f t="shared" si="45"/>
        <v>96.81369635145965</v>
      </c>
      <c r="FF32" s="164"/>
      <c r="FG32" s="164"/>
      <c r="FH32" s="164"/>
      <c r="FI32" s="164"/>
      <c r="FJ32" s="164"/>
      <c r="FK32" s="164"/>
      <c r="FL32" s="165">
        <f t="shared" si="46"/>
        <v>0</v>
      </c>
      <c r="FM32" s="165">
        <f t="shared" si="47"/>
        <v>337.57183576517093</v>
      </c>
      <c r="FN32" s="162">
        <f t="shared" si="48"/>
        <v>1</v>
      </c>
      <c r="FO32" s="164"/>
    </row>
    <row r="33" spans="1:171" ht="12.75">
      <c r="A33" s="239"/>
      <c r="B33" s="166" t="s">
        <v>103</v>
      </c>
      <c r="C33" s="114">
        <v>10</v>
      </c>
      <c r="D33" s="233">
        <f t="shared" si="28"/>
        <v>112</v>
      </c>
      <c r="E33" s="157">
        <v>21.2</v>
      </c>
      <c r="F33" s="157">
        <v>10.4</v>
      </c>
      <c r="G33" s="114">
        <v>1</v>
      </c>
      <c r="H33" s="114">
        <v>1</v>
      </c>
      <c r="I33" s="665">
        <f t="shared" si="29"/>
      </c>
      <c r="J33" s="464">
        <f t="shared" si="2"/>
        <v>11.373659946022036</v>
      </c>
      <c r="K33" s="195">
        <f t="shared" si="3"/>
        <v>25.284449951171432</v>
      </c>
      <c r="L33" s="194">
        <f t="shared" si="4"/>
        <v>25.284449951171432</v>
      </c>
      <c r="M33" s="71">
        <f t="shared" si="5"/>
        <v>-14.884449951171431</v>
      </c>
      <c r="N33" s="71">
        <f t="shared" si="30"/>
        <v>-18.122620999212756</v>
      </c>
      <c r="O33" s="73">
        <f t="shared" si="31"/>
        <v>83.42466224276876</v>
      </c>
      <c r="P33" s="73">
        <f t="shared" si="32"/>
        <v>-13.389034108690893</v>
      </c>
      <c r="Q33" s="73"/>
      <c r="R33" s="71">
        <f t="shared" si="6"/>
        <v>23.789034108690892</v>
      </c>
      <c r="S33" s="71">
        <f t="shared" si="7"/>
        <v>1.49541584248054</v>
      </c>
      <c r="T33" s="71">
        <f t="shared" si="33"/>
        <v>0</v>
      </c>
      <c r="U33" s="601"/>
      <c r="V33" s="596">
        <f t="shared" si="49"/>
        <v>0.9408563031678189</v>
      </c>
      <c r="W33" s="609">
        <f t="shared" si="9"/>
      </c>
      <c r="X33" s="605"/>
      <c r="Y33" s="670"/>
      <c r="Z33" s="25">
        <f t="shared" si="10"/>
        <v>11.928333633331848</v>
      </c>
      <c r="AA33" s="25">
        <f t="shared" si="34"/>
        <v>85.30244959516527</v>
      </c>
      <c r="AB33" s="25">
        <f t="shared" si="35"/>
        <v>11.373659946022036</v>
      </c>
      <c r="AC33" s="25"/>
      <c r="AD33" s="203"/>
      <c r="AE33" s="203"/>
      <c r="AF33" s="203"/>
      <c r="AG33" s="620"/>
      <c r="AH33" s="69"/>
      <c r="AI33" s="69"/>
      <c r="AJ33" s="319" t="str">
        <f t="shared" si="36"/>
        <v>A3</v>
      </c>
      <c r="AK33" s="69">
        <f t="shared" si="11"/>
        <v>-1.49541584248054</v>
      </c>
      <c r="AL33" s="320">
        <f t="shared" si="12"/>
        <v>0</v>
      </c>
      <c r="AM33" s="69"/>
      <c r="AN33" s="244"/>
      <c r="AO33" s="239"/>
      <c r="AP33" s="239"/>
      <c r="AQ33" s="239"/>
      <c r="AR33" s="244"/>
      <c r="AS33" s="244"/>
      <c r="AT33" s="244"/>
      <c r="AU33" s="244"/>
      <c r="AV33" s="244"/>
      <c r="AW33" s="244"/>
      <c r="AX33" s="244"/>
      <c r="AY33" s="244"/>
      <c r="AZ33" s="321" t="str">
        <f t="shared" si="37"/>
        <v>A3</v>
      </c>
      <c r="BA33" s="73">
        <f t="shared" si="38"/>
        <v>10.4</v>
      </c>
      <c r="BB33" s="322">
        <f t="shared" si="13"/>
        <v>25.284449951171432</v>
      </c>
      <c r="BC33" s="323">
        <f t="shared" si="1"/>
        <v>23.789034108690892</v>
      </c>
      <c r="BD33" s="235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319" t="str">
        <f t="shared" si="39"/>
        <v>A3</v>
      </c>
      <c r="BQ33" s="69">
        <f t="shared" si="14"/>
        <v>100</v>
      </c>
      <c r="BR33" s="320">
        <f t="shared" si="15"/>
        <v>83.42466224276876</v>
      </c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319" t="str">
        <f t="shared" si="40"/>
        <v>A3</v>
      </c>
      <c r="CE33" s="69">
        <f t="shared" si="16"/>
        <v>25.284449951171432</v>
      </c>
      <c r="CF33" s="320">
        <f t="shared" si="17"/>
        <v>25.284449951171432</v>
      </c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590">
        <f t="shared" si="18"/>
        <v>0</v>
      </c>
      <c r="CT33" s="253">
        <f t="shared" si="19"/>
        <v>-1.49541584248054</v>
      </c>
      <c r="CU33" s="253">
        <f t="shared" si="20"/>
        <v>-13.389034108690893</v>
      </c>
      <c r="CV33" s="591">
        <f t="shared" si="21"/>
        <v>0</v>
      </c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I33" s="596">
        <f t="shared" si="41"/>
        <v>4028.87628196442</v>
      </c>
      <c r="EJ33" s="233">
        <f t="shared" si="22"/>
        <v>0</v>
      </c>
      <c r="EK33" s="233">
        <f t="shared" si="23"/>
        <v>0</v>
      </c>
      <c r="EL33" s="73">
        <f t="shared" si="24"/>
      </c>
      <c r="EP33" s="162">
        <f t="shared" si="25"/>
        <v>1</v>
      </c>
      <c r="EQ33" s="162">
        <f t="shared" si="42"/>
        <v>0</v>
      </c>
      <c r="ER33" s="162">
        <f t="shared" si="42"/>
        <v>0</v>
      </c>
      <c r="ES33" s="162">
        <f t="shared" si="42"/>
        <v>1</v>
      </c>
      <c r="ET33" s="162">
        <f t="shared" si="42"/>
        <v>0</v>
      </c>
      <c r="EU33" s="162">
        <f t="shared" si="42"/>
        <v>0</v>
      </c>
      <c r="EV33" s="162">
        <f t="shared" si="42"/>
        <v>1</v>
      </c>
      <c r="EW33" s="162">
        <f t="shared" si="42"/>
        <v>0</v>
      </c>
      <c r="EX33" s="162">
        <f t="shared" si="42"/>
        <v>0</v>
      </c>
      <c r="EY33" s="162">
        <f t="shared" si="42"/>
        <v>0</v>
      </c>
      <c r="EZ33" s="162">
        <f t="shared" si="42"/>
        <v>0</v>
      </c>
      <c r="FA33" s="162">
        <f t="shared" si="42"/>
        <v>0</v>
      </c>
      <c r="FB33" s="162">
        <f t="shared" si="43"/>
        <v>0</v>
      </c>
      <c r="FC33" s="162">
        <f t="shared" si="27"/>
        <v>0</v>
      </c>
      <c r="FD33" s="162">
        <f t="shared" si="44"/>
        <v>1</v>
      </c>
      <c r="FE33" s="163">
        <f t="shared" si="45"/>
        <v>83.42466224276876</v>
      </c>
      <c r="FF33" s="164"/>
      <c r="FG33" s="164"/>
      <c r="FH33" s="164"/>
      <c r="FI33" s="164"/>
      <c r="FJ33" s="164"/>
      <c r="FK33" s="164"/>
      <c r="FL33" s="165">
        <f t="shared" si="46"/>
        <v>0</v>
      </c>
      <c r="FM33" s="165">
        <f t="shared" si="47"/>
        <v>337.57183576517093</v>
      </c>
      <c r="FN33" s="162">
        <f t="shared" si="48"/>
        <v>1</v>
      </c>
      <c r="FO33" s="164"/>
    </row>
    <row r="34" spans="1:171" ht="12.75">
      <c r="A34" s="239"/>
      <c r="B34" s="166" t="s">
        <v>98</v>
      </c>
      <c r="C34" s="114">
        <v>10</v>
      </c>
      <c r="D34" s="233">
        <f t="shared" si="28"/>
        <v>122</v>
      </c>
      <c r="E34" s="157">
        <v>20</v>
      </c>
      <c r="F34" s="157">
        <v>12.6</v>
      </c>
      <c r="G34" s="114">
        <v>1</v>
      </c>
      <c r="H34" s="114">
        <v>1</v>
      </c>
      <c r="I34" s="665">
        <f t="shared" si="29"/>
      </c>
      <c r="J34" s="464">
        <f t="shared" si="2"/>
        <v>11.193274994542898</v>
      </c>
      <c r="K34" s="195">
        <f t="shared" si="3"/>
        <v>21.635969859369414</v>
      </c>
      <c r="L34" s="194">
        <f t="shared" si="4"/>
        <v>21.635969859369414</v>
      </c>
      <c r="M34" s="71">
        <f t="shared" si="5"/>
        <v>-9.035969859369414</v>
      </c>
      <c r="N34" s="71">
        <f t="shared" si="30"/>
        <v>-27.158590858582173</v>
      </c>
      <c r="O34" s="73">
        <f t="shared" si="31"/>
        <v>76.21698037254492</v>
      </c>
      <c r="P34" s="73">
        <f t="shared" si="32"/>
        <v>-7.207681870223837</v>
      </c>
      <c r="Q34" s="73"/>
      <c r="R34" s="71">
        <f t="shared" si="6"/>
        <v>19.80768187022384</v>
      </c>
      <c r="S34" s="71">
        <f t="shared" si="7"/>
        <v>1.8282879891455757</v>
      </c>
      <c r="T34" s="71">
        <f t="shared" si="33"/>
        <v>0</v>
      </c>
      <c r="U34" s="601"/>
      <c r="V34" s="596">
        <f t="shared" si="49"/>
        <v>0.9154977566973344</v>
      </c>
      <c r="W34" s="609">
        <f t="shared" si="9"/>
      </c>
      <c r="X34" s="605"/>
      <c r="Y34" s="670"/>
      <c r="Z34" s="25">
        <f t="shared" si="10"/>
        <v>15.210363206270312</v>
      </c>
      <c r="AA34" s="25">
        <f t="shared" si="34"/>
        <v>83.94956245907174</v>
      </c>
      <c r="AB34" s="25">
        <f t="shared" si="35"/>
        <v>11.193274994542898</v>
      </c>
      <c r="AC34" s="25"/>
      <c r="AD34" s="203"/>
      <c r="AE34" s="203"/>
      <c r="AF34" s="203"/>
      <c r="AG34" s="620"/>
      <c r="AH34" s="69"/>
      <c r="AI34" s="69"/>
      <c r="AJ34" s="319" t="str">
        <f t="shared" si="36"/>
        <v>M1</v>
      </c>
      <c r="AK34" s="69">
        <f t="shared" si="11"/>
        <v>-1.8282879891455757</v>
      </c>
      <c r="AL34" s="320">
        <f t="shared" si="12"/>
        <v>0</v>
      </c>
      <c r="AM34" s="69"/>
      <c r="AN34" s="244"/>
      <c r="AO34" s="239"/>
      <c r="AP34" s="239"/>
      <c r="AQ34" s="239"/>
      <c r="AR34" s="244"/>
      <c r="AS34" s="244"/>
      <c r="AT34" s="244"/>
      <c r="AU34" s="244"/>
      <c r="AV34" s="244"/>
      <c r="AW34" s="244"/>
      <c r="AX34" s="244"/>
      <c r="AY34" s="244"/>
      <c r="AZ34" s="321" t="str">
        <f t="shared" si="37"/>
        <v>M1</v>
      </c>
      <c r="BA34" s="73">
        <f t="shared" si="38"/>
        <v>12.6</v>
      </c>
      <c r="BB34" s="322">
        <f t="shared" si="13"/>
        <v>21.635969859369414</v>
      </c>
      <c r="BC34" s="323">
        <f t="shared" si="1"/>
        <v>19.80768187022384</v>
      </c>
      <c r="BD34" s="235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319" t="str">
        <f t="shared" si="39"/>
        <v>M1</v>
      </c>
      <c r="BQ34" s="69">
        <f t="shared" si="14"/>
        <v>100</v>
      </c>
      <c r="BR34" s="320">
        <f t="shared" si="15"/>
        <v>76.21698037254492</v>
      </c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319" t="str">
        <f t="shared" si="40"/>
        <v>M1</v>
      </c>
      <c r="CE34" s="69">
        <f t="shared" si="16"/>
        <v>21.635969859369414</v>
      </c>
      <c r="CF34" s="320">
        <f t="shared" si="17"/>
        <v>21.635969859369414</v>
      </c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590">
        <f t="shared" si="18"/>
        <v>0</v>
      </c>
      <c r="CT34" s="253">
        <f t="shared" si="19"/>
        <v>-1.8282879891455757</v>
      </c>
      <c r="CU34" s="253">
        <f t="shared" si="20"/>
        <v>-7.207681870223837</v>
      </c>
      <c r="CV34" s="591">
        <f t="shared" si="21"/>
        <v>0</v>
      </c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I34" s="596">
        <f t="shared" si="41"/>
        <v>3688.4271981495235</v>
      </c>
      <c r="EJ34" s="233">
        <f t="shared" si="22"/>
        <v>0</v>
      </c>
      <c r="EK34" s="233">
        <f t="shared" si="23"/>
        <v>0</v>
      </c>
      <c r="EL34" s="73">
        <f t="shared" si="24"/>
      </c>
      <c r="EP34" s="162">
        <f t="shared" si="25"/>
        <v>1</v>
      </c>
      <c r="EQ34" s="162">
        <f t="shared" si="42"/>
        <v>0</v>
      </c>
      <c r="ER34" s="162">
        <f t="shared" si="42"/>
        <v>0</v>
      </c>
      <c r="ES34" s="162">
        <f t="shared" si="42"/>
        <v>0</v>
      </c>
      <c r="ET34" s="162">
        <f t="shared" si="42"/>
        <v>1</v>
      </c>
      <c r="EU34" s="162">
        <f t="shared" si="42"/>
        <v>0</v>
      </c>
      <c r="EV34" s="162">
        <f t="shared" si="42"/>
        <v>0</v>
      </c>
      <c r="EW34" s="162">
        <f t="shared" si="42"/>
        <v>1</v>
      </c>
      <c r="EX34" s="162">
        <f t="shared" si="42"/>
        <v>0</v>
      </c>
      <c r="EY34" s="162">
        <f t="shared" si="42"/>
        <v>0</v>
      </c>
      <c r="EZ34" s="162">
        <f t="shared" si="42"/>
        <v>0</v>
      </c>
      <c r="FA34" s="162">
        <f t="shared" si="42"/>
        <v>0</v>
      </c>
      <c r="FB34" s="162">
        <f t="shared" si="43"/>
        <v>0</v>
      </c>
      <c r="FC34" s="162">
        <f t="shared" si="27"/>
        <v>0</v>
      </c>
      <c r="FD34" s="162">
        <f t="shared" si="44"/>
        <v>1</v>
      </c>
      <c r="FE34" s="163">
        <f t="shared" si="45"/>
        <v>76.21698037254492</v>
      </c>
      <c r="FF34" s="164"/>
      <c r="FG34" s="164"/>
      <c r="FH34" s="164"/>
      <c r="FI34" s="164"/>
      <c r="FJ34" s="164"/>
      <c r="FK34" s="164"/>
      <c r="FL34" s="165">
        <f t="shared" si="46"/>
        <v>0</v>
      </c>
      <c r="FM34" s="165">
        <f t="shared" si="47"/>
        <v>337.57183576517093</v>
      </c>
      <c r="FN34" s="162">
        <f t="shared" si="48"/>
        <v>1</v>
      </c>
      <c r="FO34" s="164"/>
    </row>
    <row r="35" spans="1:171" ht="12.75">
      <c r="A35" s="239"/>
      <c r="B35" s="166" t="s">
        <v>99</v>
      </c>
      <c r="C35" s="114">
        <v>10</v>
      </c>
      <c r="D35" s="233">
        <f t="shared" si="28"/>
        <v>132</v>
      </c>
      <c r="E35" s="157">
        <v>19</v>
      </c>
      <c r="F35" s="157">
        <v>31.6</v>
      </c>
      <c r="G35" s="114">
        <v>1</v>
      </c>
      <c r="H35" s="114">
        <v>1</v>
      </c>
      <c r="I35" s="665">
        <f t="shared" si="29"/>
      </c>
      <c r="J35" s="464">
        <f t="shared" si="2"/>
        <v>11.032687097181444</v>
      </c>
      <c r="K35" s="195">
        <f t="shared" si="3"/>
        <v>18.855460697240275</v>
      </c>
      <c r="L35" s="194">
        <f t="shared" si="4"/>
        <v>18.855460697240275</v>
      </c>
      <c r="M35" s="71">
        <f t="shared" si="5"/>
        <v>12.744539302759726</v>
      </c>
      <c r="N35" s="71">
        <f t="shared" si="30"/>
        <v>-11.696627295069389</v>
      </c>
      <c r="O35" s="73">
        <f t="shared" si="31"/>
        <v>88.96151967530466</v>
      </c>
      <c r="P35" s="73">
        <f t="shared" si="32"/>
        <v>12.744539302759733</v>
      </c>
      <c r="Q35" s="73"/>
      <c r="R35" s="71">
        <f t="shared" si="6"/>
        <v>18.855460697240275</v>
      </c>
      <c r="S35" s="71">
        <f t="shared" si="7"/>
        <v>0</v>
      </c>
      <c r="T35" s="71">
        <f t="shared" si="33"/>
        <v>0</v>
      </c>
      <c r="U35" s="601"/>
      <c r="V35" s="596">
        <f t="shared" si="49"/>
        <v>1</v>
      </c>
      <c r="W35" s="609">
        <f t="shared" si="9"/>
      </c>
      <c r="X35" s="605"/>
      <c r="Y35" s="671"/>
      <c r="Z35" s="25">
        <f t="shared" si="10"/>
        <v>18.04277769042834</v>
      </c>
      <c r="AA35" s="25">
        <f t="shared" si="34"/>
        <v>82.74515322886083</v>
      </c>
      <c r="AB35" s="25">
        <f t="shared" si="35"/>
        <v>11.032687097181444</v>
      </c>
      <c r="AC35" s="25"/>
      <c r="AD35" s="203"/>
      <c r="AE35" s="203"/>
      <c r="AF35" s="203"/>
      <c r="AG35" s="620"/>
      <c r="AH35" s="69"/>
      <c r="AI35" s="69"/>
      <c r="AJ35" s="319" t="str">
        <f t="shared" si="36"/>
        <v>M2</v>
      </c>
      <c r="AK35" s="69">
        <f t="shared" si="11"/>
        <v>0</v>
      </c>
      <c r="AL35" s="320">
        <f t="shared" si="12"/>
        <v>0</v>
      </c>
      <c r="AM35" s="69"/>
      <c r="AN35" s="244"/>
      <c r="AO35" s="239"/>
      <c r="AP35" s="239"/>
      <c r="AQ35" s="239"/>
      <c r="AR35" s="244"/>
      <c r="AS35" s="244"/>
      <c r="AT35" s="244"/>
      <c r="AU35" s="244"/>
      <c r="AV35" s="244"/>
      <c r="AW35" s="244"/>
      <c r="AX35" s="244"/>
      <c r="AY35" s="244"/>
      <c r="AZ35" s="321" t="str">
        <f t="shared" si="37"/>
        <v>M2</v>
      </c>
      <c r="BA35" s="73">
        <f t="shared" si="38"/>
        <v>31.6</v>
      </c>
      <c r="BB35" s="322">
        <f t="shared" si="13"/>
        <v>18.855460697240275</v>
      </c>
      <c r="BC35" s="323">
        <f t="shared" si="1"/>
        <v>18.855460697240275</v>
      </c>
      <c r="BD35" s="235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319" t="str">
        <f t="shared" si="39"/>
        <v>M2</v>
      </c>
      <c r="BQ35" s="69">
        <f t="shared" si="14"/>
        <v>100</v>
      </c>
      <c r="BR35" s="320">
        <f t="shared" si="15"/>
        <v>88.96151967530466</v>
      </c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319" t="str">
        <f t="shared" si="40"/>
        <v>M2</v>
      </c>
      <c r="CE35" s="69">
        <f t="shared" si="16"/>
        <v>18.855460697240275</v>
      </c>
      <c r="CF35" s="320">
        <f t="shared" si="17"/>
        <v>18.855460697240275</v>
      </c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590">
        <f t="shared" si="18"/>
        <v>0</v>
      </c>
      <c r="CT35" s="253">
        <f t="shared" si="19"/>
        <v>0</v>
      </c>
      <c r="CU35" s="253">
        <f t="shared" si="20"/>
        <v>0</v>
      </c>
      <c r="CV35" s="591">
        <f t="shared" si="21"/>
        <v>12.744539302759733</v>
      </c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I35" s="596">
        <f t="shared" si="41"/>
        <v>3688.4271981495235</v>
      </c>
      <c r="EJ35" s="233">
        <f t="shared" si="22"/>
        <v>0</v>
      </c>
      <c r="EK35" s="233">
        <f t="shared" si="23"/>
        <v>0</v>
      </c>
      <c r="EL35" s="73">
        <f t="shared" si="24"/>
      </c>
      <c r="EP35" s="162">
        <f t="shared" si="25"/>
        <v>0</v>
      </c>
      <c r="EQ35" s="162">
        <f t="shared" si="42"/>
        <v>1</v>
      </c>
      <c r="ER35" s="162">
        <f t="shared" si="42"/>
        <v>0</v>
      </c>
      <c r="ES35" s="162">
        <f t="shared" si="42"/>
        <v>0</v>
      </c>
      <c r="ET35" s="162">
        <f t="shared" si="42"/>
        <v>0</v>
      </c>
      <c r="EU35" s="162">
        <f t="shared" si="42"/>
        <v>1</v>
      </c>
      <c r="EV35" s="162">
        <f t="shared" si="42"/>
        <v>0</v>
      </c>
      <c r="EW35" s="162">
        <f t="shared" si="42"/>
        <v>0</v>
      </c>
      <c r="EX35" s="162">
        <f t="shared" si="42"/>
        <v>1</v>
      </c>
      <c r="EY35" s="162">
        <f t="shared" si="42"/>
        <v>0</v>
      </c>
      <c r="EZ35" s="162">
        <f t="shared" si="42"/>
        <v>0</v>
      </c>
      <c r="FA35" s="162">
        <f t="shared" si="42"/>
        <v>0</v>
      </c>
      <c r="FB35" s="162">
        <f t="shared" si="43"/>
        <v>0</v>
      </c>
      <c r="FC35" s="162">
        <f t="shared" si="27"/>
        <v>0</v>
      </c>
      <c r="FD35" s="162">
        <f t="shared" si="44"/>
        <v>1</v>
      </c>
      <c r="FE35" s="163">
        <f t="shared" si="45"/>
        <v>88.96151967530466</v>
      </c>
      <c r="FF35" s="164"/>
      <c r="FG35" s="164"/>
      <c r="FH35" s="164"/>
      <c r="FI35" s="164"/>
      <c r="FJ35" s="164"/>
      <c r="FK35" s="164"/>
      <c r="FL35" s="165">
        <f t="shared" si="46"/>
        <v>12.744539302759726</v>
      </c>
      <c r="FM35" s="165">
        <f t="shared" si="47"/>
        <v>350.31637506793066</v>
      </c>
      <c r="FN35" s="162">
        <f t="shared" si="48"/>
        <v>1</v>
      </c>
      <c r="FO35" s="164"/>
    </row>
    <row r="36" spans="1:171" ht="12.75">
      <c r="A36" s="239"/>
      <c r="B36" s="166" t="s">
        <v>100</v>
      </c>
      <c r="C36" s="114">
        <v>11</v>
      </c>
      <c r="D36" s="233">
        <f t="shared" si="28"/>
        <v>142</v>
      </c>
      <c r="E36" s="157">
        <v>18.6</v>
      </c>
      <c r="F36" s="157">
        <v>8.1</v>
      </c>
      <c r="G36" s="114">
        <v>1</v>
      </c>
      <c r="H36" s="114">
        <v>1</v>
      </c>
      <c r="I36" s="665">
        <f t="shared" si="29"/>
      </c>
      <c r="J36" s="464">
        <f t="shared" si="2"/>
        <v>10.898191875607388</v>
      </c>
      <c r="K36" s="195">
        <f t="shared" si="3"/>
        <v>19.468182365754743</v>
      </c>
      <c r="L36" s="194">
        <f t="shared" si="4"/>
        <v>19.468182365754743</v>
      </c>
      <c r="M36" s="71">
        <f t="shared" si="5"/>
        <v>-11.368182365754743</v>
      </c>
      <c r="N36" s="71">
        <f t="shared" si="30"/>
        <v>-23.06480966082413</v>
      </c>
      <c r="O36" s="73">
        <f t="shared" si="31"/>
        <v>79.40188347980379</v>
      </c>
      <c r="P36" s="73">
        <f t="shared" si="32"/>
        <v>-9.559636195500872</v>
      </c>
      <c r="Q36" s="73"/>
      <c r="R36" s="71">
        <f t="shared" si="6"/>
        <v>17.659636195500873</v>
      </c>
      <c r="S36" s="71">
        <f t="shared" si="7"/>
        <v>1.8085461702538694</v>
      </c>
      <c r="T36" s="71">
        <f t="shared" si="33"/>
        <v>0</v>
      </c>
      <c r="U36" s="601"/>
      <c r="V36" s="596">
        <f t="shared" si="49"/>
        <v>0.9071024640987969</v>
      </c>
      <c r="W36" s="609">
        <f t="shared" si="9"/>
      </c>
      <c r="X36" s="605"/>
      <c r="Y36" s="671"/>
      <c r="Z36" s="25">
        <f t="shared" si="10"/>
        <v>20.341851518409044</v>
      </c>
      <c r="AA36" s="25">
        <f t="shared" si="34"/>
        <v>81.73643906705541</v>
      </c>
      <c r="AB36" s="25">
        <f t="shared" si="35"/>
        <v>10.898191875607388</v>
      </c>
      <c r="AC36" s="25"/>
      <c r="AD36" s="203"/>
      <c r="AE36" s="203"/>
      <c r="AF36" s="203"/>
      <c r="AG36" s="620"/>
      <c r="AH36" s="69"/>
      <c r="AI36" s="69"/>
      <c r="AJ36" s="319" t="str">
        <f t="shared" si="36"/>
        <v>M3</v>
      </c>
      <c r="AK36" s="69">
        <f t="shared" si="11"/>
        <v>-1.8085461702538694</v>
      </c>
      <c r="AL36" s="320">
        <f t="shared" si="12"/>
        <v>0</v>
      </c>
      <c r="AM36" s="69"/>
      <c r="AN36" s="244"/>
      <c r="AO36" s="239"/>
      <c r="AP36" s="239"/>
      <c r="AQ36" s="239"/>
      <c r="AR36" s="244"/>
      <c r="AS36" s="244"/>
      <c r="AT36" s="244"/>
      <c r="AU36" s="244"/>
      <c r="AV36" s="244"/>
      <c r="AW36" s="244"/>
      <c r="AX36" s="244"/>
      <c r="AY36" s="244"/>
      <c r="AZ36" s="321" t="str">
        <f t="shared" si="37"/>
        <v>M3</v>
      </c>
      <c r="BA36" s="73">
        <f t="shared" si="38"/>
        <v>8.1</v>
      </c>
      <c r="BB36" s="322">
        <f t="shared" si="13"/>
        <v>19.468182365754743</v>
      </c>
      <c r="BC36" s="323">
        <f t="shared" si="1"/>
        <v>17.659636195500873</v>
      </c>
      <c r="BD36" s="235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319" t="str">
        <f t="shared" si="39"/>
        <v>M3</v>
      </c>
      <c r="BQ36" s="69">
        <f t="shared" si="14"/>
        <v>100</v>
      </c>
      <c r="BR36" s="320">
        <f t="shared" si="15"/>
        <v>79.40188347980379</v>
      </c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319" t="str">
        <f t="shared" si="40"/>
        <v>M3</v>
      </c>
      <c r="CE36" s="69">
        <f t="shared" si="16"/>
        <v>19.468182365754743</v>
      </c>
      <c r="CF36" s="320">
        <f t="shared" si="17"/>
        <v>19.468182365754743</v>
      </c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590">
        <f t="shared" si="18"/>
        <v>0</v>
      </c>
      <c r="CT36" s="253">
        <f t="shared" si="19"/>
        <v>-1.8085461702538694</v>
      </c>
      <c r="CU36" s="253">
        <f t="shared" si="20"/>
        <v>-9.559636195500872</v>
      </c>
      <c r="CV36" s="591">
        <f t="shared" si="21"/>
        <v>0</v>
      </c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I36" s="596">
        <f t="shared" si="41"/>
        <v>3345.781400090454</v>
      </c>
      <c r="EJ36" s="233">
        <f t="shared" si="22"/>
        <v>0</v>
      </c>
      <c r="EK36" s="233">
        <f t="shared" si="23"/>
        <v>0</v>
      </c>
      <c r="EL36" s="73">
        <f t="shared" si="24"/>
      </c>
      <c r="EP36" s="162">
        <f t="shared" si="25"/>
        <v>1</v>
      </c>
      <c r="EQ36" s="162">
        <f t="shared" si="42"/>
        <v>0</v>
      </c>
      <c r="ER36" s="162">
        <f t="shared" si="42"/>
        <v>1</v>
      </c>
      <c r="ES36" s="162">
        <f t="shared" si="42"/>
        <v>0</v>
      </c>
      <c r="ET36" s="162">
        <f t="shared" si="42"/>
        <v>0</v>
      </c>
      <c r="EU36" s="162">
        <f t="shared" si="42"/>
        <v>0</v>
      </c>
      <c r="EV36" s="162">
        <f t="shared" si="42"/>
        <v>1</v>
      </c>
      <c r="EW36" s="162">
        <f t="shared" si="42"/>
        <v>0</v>
      </c>
      <c r="EX36" s="162">
        <f t="shared" si="42"/>
        <v>0</v>
      </c>
      <c r="EY36" s="162">
        <f t="shared" si="42"/>
        <v>1</v>
      </c>
      <c r="EZ36" s="162">
        <f t="shared" si="42"/>
        <v>0</v>
      </c>
      <c r="FA36" s="162">
        <f t="shared" si="42"/>
        <v>0</v>
      </c>
      <c r="FB36" s="162">
        <f t="shared" si="43"/>
        <v>0</v>
      </c>
      <c r="FC36" s="162">
        <f t="shared" si="27"/>
        <v>0</v>
      </c>
      <c r="FD36" s="162">
        <f t="shared" si="44"/>
        <v>1</v>
      </c>
      <c r="FE36" s="163">
        <f t="shared" si="45"/>
        <v>79.40188347980379</v>
      </c>
      <c r="FF36" s="164"/>
      <c r="FG36" s="164"/>
      <c r="FH36" s="164"/>
      <c r="FI36" s="164"/>
      <c r="FJ36" s="164"/>
      <c r="FK36" s="164"/>
      <c r="FL36" s="165">
        <f t="shared" si="46"/>
        <v>0</v>
      </c>
      <c r="FM36" s="165">
        <f t="shared" si="47"/>
        <v>350.31637506793066</v>
      </c>
      <c r="FN36" s="162">
        <f t="shared" si="48"/>
        <v>1</v>
      </c>
      <c r="FO36" s="164"/>
    </row>
    <row r="37" spans="1:171" ht="12.75">
      <c r="A37" s="239"/>
      <c r="B37" s="166" t="s">
        <v>92</v>
      </c>
      <c r="C37" s="114">
        <v>10</v>
      </c>
      <c r="D37" s="233">
        <f t="shared" si="28"/>
        <v>153</v>
      </c>
      <c r="E37" s="157">
        <v>18</v>
      </c>
      <c r="F37" s="157">
        <v>15.6</v>
      </c>
      <c r="G37" s="114">
        <v>1</v>
      </c>
      <c r="H37" s="114">
        <v>1</v>
      </c>
      <c r="I37" s="665">
        <f t="shared" si="29"/>
      </c>
      <c r="J37" s="464">
        <f t="shared" si="2"/>
        <v>10.787863544582807</v>
      </c>
      <c r="K37" s="195">
        <f t="shared" si="3"/>
        <v>16.193348454405367</v>
      </c>
      <c r="L37" s="194">
        <f t="shared" si="4"/>
        <v>16.193348454405367</v>
      </c>
      <c r="M37" s="71">
        <f t="shared" si="5"/>
        <v>-0.5933484544053673</v>
      </c>
      <c r="N37" s="71">
        <f t="shared" si="30"/>
        <v>-23.658158115229497</v>
      </c>
      <c r="O37" s="73">
        <f t="shared" si="31"/>
        <v>78.93214859188866</v>
      </c>
      <c r="P37" s="73">
        <f t="shared" si="32"/>
        <v>-0.4697348879151235</v>
      </c>
      <c r="Q37" s="73"/>
      <c r="R37" s="71">
        <f t="shared" si="6"/>
        <v>16.069734887915125</v>
      </c>
      <c r="S37" s="71">
        <f t="shared" si="7"/>
        <v>0.12361356649024202</v>
      </c>
      <c r="T37" s="71">
        <f t="shared" si="33"/>
        <v>0</v>
      </c>
      <c r="U37" s="601"/>
      <c r="V37" s="596">
        <f t="shared" si="49"/>
        <v>0.9923663986581717</v>
      </c>
      <c r="W37" s="609">
        <f t="shared" si="9"/>
      </c>
      <c r="X37" s="605"/>
      <c r="Y37" s="671"/>
      <c r="Z37" s="25">
        <f t="shared" si="10"/>
        <v>22.174235285166493</v>
      </c>
      <c r="AA37" s="25">
        <f t="shared" si="34"/>
        <v>80.90897658437105</v>
      </c>
      <c r="AB37" s="25">
        <f t="shared" si="35"/>
        <v>10.787863544582807</v>
      </c>
      <c r="AC37" s="25"/>
      <c r="AD37" s="203"/>
      <c r="AE37" s="203"/>
      <c r="AF37" s="203"/>
      <c r="AG37" s="620"/>
      <c r="AH37" s="69"/>
      <c r="AI37" s="69"/>
      <c r="AJ37" s="319" t="str">
        <f t="shared" si="36"/>
        <v>J1</v>
      </c>
      <c r="AK37" s="69">
        <f t="shared" si="11"/>
        <v>-0.12361356649024202</v>
      </c>
      <c r="AL37" s="320">
        <f t="shared" si="12"/>
        <v>0</v>
      </c>
      <c r="AM37" s="69"/>
      <c r="AN37" s="244"/>
      <c r="AO37" s="239"/>
      <c r="AP37" s="239"/>
      <c r="AQ37" s="239"/>
      <c r="AR37" s="244"/>
      <c r="AS37" s="244"/>
      <c r="AT37" s="244"/>
      <c r="AU37" s="244"/>
      <c r="AV37" s="244"/>
      <c r="AW37" s="244"/>
      <c r="AX37" s="244"/>
      <c r="AY37" s="244"/>
      <c r="AZ37" s="321" t="str">
        <f t="shared" si="37"/>
        <v>J1</v>
      </c>
      <c r="BA37" s="73">
        <f t="shared" si="38"/>
        <v>15.6</v>
      </c>
      <c r="BB37" s="322">
        <f t="shared" si="13"/>
        <v>16.193348454405367</v>
      </c>
      <c r="BC37" s="323">
        <f t="shared" si="1"/>
        <v>16.069734887915125</v>
      </c>
      <c r="BD37" s="235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319" t="str">
        <f t="shared" si="39"/>
        <v>J1</v>
      </c>
      <c r="BQ37" s="69">
        <f t="shared" si="14"/>
        <v>100</v>
      </c>
      <c r="BR37" s="320">
        <f t="shared" si="15"/>
        <v>78.93214859188866</v>
      </c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319" t="str">
        <f t="shared" si="40"/>
        <v>J1</v>
      </c>
      <c r="CE37" s="69">
        <f t="shared" si="16"/>
        <v>16.193348454405367</v>
      </c>
      <c r="CF37" s="320">
        <f t="shared" si="17"/>
        <v>16.193348454405367</v>
      </c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590">
        <f t="shared" si="18"/>
        <v>0</v>
      </c>
      <c r="CT37" s="253">
        <f t="shared" si="19"/>
        <v>-0.12361356649024202</v>
      </c>
      <c r="CU37" s="253">
        <f t="shared" si="20"/>
        <v>-0.4697348879151235</v>
      </c>
      <c r="CV37" s="591">
        <f t="shared" si="21"/>
        <v>0</v>
      </c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I37" s="596">
        <f t="shared" si="41"/>
        <v>3320.241038705259</v>
      </c>
      <c r="EJ37" s="233">
        <f t="shared" si="22"/>
        <v>0</v>
      </c>
      <c r="EK37" s="233">
        <f t="shared" si="23"/>
        <v>0</v>
      </c>
      <c r="EL37" s="73">
        <f t="shared" si="24"/>
      </c>
      <c r="EP37" s="162">
        <f t="shared" si="25"/>
        <v>1</v>
      </c>
      <c r="EQ37" s="162">
        <f t="shared" si="42"/>
        <v>0</v>
      </c>
      <c r="ER37" s="162">
        <f t="shared" si="42"/>
        <v>0</v>
      </c>
      <c r="ES37" s="162">
        <f t="shared" si="42"/>
        <v>1</v>
      </c>
      <c r="ET37" s="162">
        <f t="shared" si="42"/>
        <v>0</v>
      </c>
      <c r="EU37" s="162">
        <f t="shared" si="42"/>
        <v>0</v>
      </c>
      <c r="EV37" s="162">
        <f t="shared" si="42"/>
        <v>0</v>
      </c>
      <c r="EW37" s="162">
        <f t="shared" si="42"/>
        <v>1</v>
      </c>
      <c r="EX37" s="162">
        <f t="shared" si="42"/>
        <v>0</v>
      </c>
      <c r="EY37" s="162">
        <f t="shared" si="42"/>
        <v>0</v>
      </c>
      <c r="EZ37" s="162">
        <f t="shared" si="42"/>
        <v>1</v>
      </c>
      <c r="FA37" s="162">
        <f t="shared" si="42"/>
        <v>0</v>
      </c>
      <c r="FB37" s="162">
        <f t="shared" si="43"/>
        <v>0</v>
      </c>
      <c r="FC37" s="162">
        <f t="shared" si="27"/>
        <v>0</v>
      </c>
      <c r="FD37" s="162">
        <f t="shared" si="44"/>
        <v>1</v>
      </c>
      <c r="FE37" s="163">
        <f t="shared" si="45"/>
        <v>78.93214859188866</v>
      </c>
      <c r="FF37" s="164"/>
      <c r="FG37" s="164"/>
      <c r="FH37" s="164"/>
      <c r="FI37" s="164"/>
      <c r="FJ37" s="164"/>
      <c r="FK37" s="164"/>
      <c r="FL37" s="165">
        <f t="shared" si="46"/>
        <v>0</v>
      </c>
      <c r="FM37" s="165">
        <f t="shared" si="47"/>
        <v>350.31637506793066</v>
      </c>
      <c r="FN37" s="162">
        <f t="shared" si="48"/>
        <v>1</v>
      </c>
      <c r="FO37" s="164"/>
    </row>
    <row r="38" spans="1:171" ht="12.75">
      <c r="A38" s="239"/>
      <c r="B38" s="166" t="s">
        <v>93</v>
      </c>
      <c r="C38" s="114">
        <v>10</v>
      </c>
      <c r="D38" s="233">
        <f t="shared" si="28"/>
        <v>163</v>
      </c>
      <c r="E38" s="157">
        <v>17.5</v>
      </c>
      <c r="F38" s="157">
        <v>21.5</v>
      </c>
      <c r="G38" s="114">
        <v>1</v>
      </c>
      <c r="H38" s="114">
        <v>1</v>
      </c>
      <c r="I38" s="665">
        <f t="shared" si="29"/>
      </c>
      <c r="J38" s="464">
        <f t="shared" si="2"/>
        <v>10.727632187473892</v>
      </c>
      <c r="K38" s="195">
        <f t="shared" si="3"/>
        <v>15.050204327705908</v>
      </c>
      <c r="L38" s="194">
        <f t="shared" si="4"/>
        <v>15.050204327705908</v>
      </c>
      <c r="M38" s="71">
        <f t="shared" si="5"/>
        <v>6.449795672294092</v>
      </c>
      <c r="N38" s="71">
        <f t="shared" si="30"/>
        <v>-15.803553302503806</v>
      </c>
      <c r="O38" s="73">
        <f t="shared" si="31"/>
        <v>85.38194426418275</v>
      </c>
      <c r="P38" s="73">
        <f t="shared" si="32"/>
        <v>6.449795672294087</v>
      </c>
      <c r="Q38" s="73"/>
      <c r="R38" s="71">
        <f t="shared" si="6"/>
        <v>15.050204327705908</v>
      </c>
      <c r="S38" s="71">
        <f t="shared" si="7"/>
        <v>0</v>
      </c>
      <c r="T38" s="71">
        <f t="shared" si="33"/>
        <v>0</v>
      </c>
      <c r="U38" s="601"/>
      <c r="V38" s="596">
        <f t="shared" si="49"/>
        <v>1</v>
      </c>
      <c r="W38" s="609">
        <f t="shared" si="9"/>
      </c>
      <c r="X38" s="605"/>
      <c r="Y38" s="671"/>
      <c r="Z38" s="25">
        <f t="shared" si="10"/>
        <v>23.15334442413898</v>
      </c>
      <c r="AA38" s="25">
        <f t="shared" si="34"/>
        <v>80.4572414060542</v>
      </c>
      <c r="AB38" s="25">
        <f t="shared" si="35"/>
        <v>10.727632187473892</v>
      </c>
      <c r="AC38" s="25"/>
      <c r="AD38" s="203"/>
      <c r="AE38" s="203"/>
      <c r="AF38" s="203"/>
      <c r="AG38" s="620"/>
      <c r="AH38" s="69"/>
      <c r="AI38" s="69"/>
      <c r="AJ38" s="319" t="str">
        <f t="shared" si="36"/>
        <v>J2</v>
      </c>
      <c r="AK38" s="69">
        <f t="shared" si="11"/>
        <v>0</v>
      </c>
      <c r="AL38" s="320">
        <f t="shared" si="12"/>
        <v>0</v>
      </c>
      <c r="AM38" s="69"/>
      <c r="AN38" s="244"/>
      <c r="AO38" s="239"/>
      <c r="AP38" s="239"/>
      <c r="AQ38" s="239"/>
      <c r="AR38" s="244"/>
      <c r="AS38" s="244"/>
      <c r="AT38" s="244"/>
      <c r="AU38" s="244"/>
      <c r="AV38" s="244"/>
      <c r="AW38" s="244"/>
      <c r="AX38" s="244"/>
      <c r="AY38" s="244"/>
      <c r="AZ38" s="321" t="str">
        <f t="shared" si="37"/>
        <v>J2</v>
      </c>
      <c r="BA38" s="73">
        <f t="shared" si="38"/>
        <v>21.5</v>
      </c>
      <c r="BB38" s="322">
        <f t="shared" si="13"/>
        <v>15.050204327705908</v>
      </c>
      <c r="BC38" s="323">
        <f t="shared" si="1"/>
        <v>15.050204327705908</v>
      </c>
      <c r="BD38" s="235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319" t="str">
        <f t="shared" si="39"/>
        <v>J2</v>
      </c>
      <c r="BQ38" s="69">
        <f t="shared" si="14"/>
        <v>100</v>
      </c>
      <c r="BR38" s="320">
        <f t="shared" si="15"/>
        <v>85.38194426418275</v>
      </c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319" t="str">
        <f t="shared" si="40"/>
        <v>J2</v>
      </c>
      <c r="CE38" s="69">
        <f t="shared" si="16"/>
        <v>15.050204327705908</v>
      </c>
      <c r="CF38" s="320">
        <f t="shared" si="17"/>
        <v>15.050204327705908</v>
      </c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590">
        <f t="shared" si="18"/>
        <v>0</v>
      </c>
      <c r="CT38" s="253">
        <f t="shared" si="19"/>
        <v>0</v>
      </c>
      <c r="CU38" s="253">
        <f t="shared" si="20"/>
        <v>0</v>
      </c>
      <c r="CV38" s="591">
        <f t="shared" si="21"/>
        <v>6.449795672294087</v>
      </c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I38" s="596">
        <f t="shared" si="41"/>
        <v>3320.241038705259</v>
      </c>
      <c r="EJ38" s="233">
        <f t="shared" si="22"/>
        <v>0</v>
      </c>
      <c r="EK38" s="233">
        <f t="shared" si="23"/>
        <v>0</v>
      </c>
      <c r="EL38" s="73">
        <f t="shared" si="24"/>
      </c>
      <c r="EP38" s="162">
        <f t="shared" si="25"/>
        <v>0</v>
      </c>
      <c r="EQ38" s="162">
        <f t="shared" si="42"/>
        <v>1</v>
      </c>
      <c r="ER38" s="162">
        <f t="shared" si="42"/>
        <v>0</v>
      </c>
      <c r="ES38" s="162">
        <f t="shared" si="42"/>
        <v>0</v>
      </c>
      <c r="ET38" s="162">
        <f t="shared" si="42"/>
        <v>1</v>
      </c>
      <c r="EU38" s="162">
        <f t="shared" si="42"/>
        <v>0</v>
      </c>
      <c r="EV38" s="162">
        <f t="shared" si="42"/>
        <v>0</v>
      </c>
      <c r="EW38" s="162">
        <f t="shared" si="42"/>
        <v>0</v>
      </c>
      <c r="EX38" s="162">
        <f t="shared" si="42"/>
        <v>1</v>
      </c>
      <c r="EY38" s="162">
        <f t="shared" si="42"/>
        <v>0</v>
      </c>
      <c r="EZ38" s="162">
        <f t="shared" si="42"/>
        <v>0</v>
      </c>
      <c r="FA38" s="162">
        <f t="shared" si="42"/>
        <v>1</v>
      </c>
      <c r="FB38" s="162">
        <f t="shared" si="43"/>
        <v>0</v>
      </c>
      <c r="FC38" s="162">
        <f t="shared" si="27"/>
        <v>0</v>
      </c>
      <c r="FD38" s="162">
        <f t="shared" si="44"/>
        <v>1</v>
      </c>
      <c r="FE38" s="163">
        <f t="shared" si="45"/>
        <v>85.38194426418275</v>
      </c>
      <c r="FF38" s="164"/>
      <c r="FG38" s="164"/>
      <c r="FH38" s="164"/>
      <c r="FI38" s="164"/>
      <c r="FJ38" s="164"/>
      <c r="FK38" s="164"/>
      <c r="FL38" s="165">
        <f t="shared" si="46"/>
        <v>6.449795672294092</v>
      </c>
      <c r="FM38" s="165">
        <f t="shared" si="47"/>
        <v>356.76617074022477</v>
      </c>
      <c r="FN38" s="162">
        <f t="shared" si="48"/>
        <v>1</v>
      </c>
      <c r="FO38" s="164"/>
    </row>
    <row r="39" spans="1:171" ht="12.75">
      <c r="A39" s="239"/>
      <c r="B39" s="166" t="s">
        <v>94</v>
      </c>
      <c r="C39" s="114">
        <v>10</v>
      </c>
      <c r="D39" s="233">
        <f t="shared" si="28"/>
        <v>173</v>
      </c>
      <c r="E39" s="157">
        <v>17</v>
      </c>
      <c r="F39" s="157">
        <v>6.5</v>
      </c>
      <c r="G39" s="114">
        <v>1</v>
      </c>
      <c r="H39" s="114">
        <v>1</v>
      </c>
      <c r="I39" s="665">
        <f t="shared" si="29"/>
      </c>
      <c r="J39" s="464">
        <f t="shared" si="2"/>
        <v>10.70931642537196</v>
      </c>
      <c r="K39" s="195">
        <f t="shared" si="3"/>
        <v>14.014782644003382</v>
      </c>
      <c r="L39" s="194">
        <f t="shared" si="4"/>
        <v>14.014782644003382</v>
      </c>
      <c r="M39" s="71">
        <f t="shared" si="5"/>
        <v>-7.5147826440033825</v>
      </c>
      <c r="N39" s="71">
        <f t="shared" si="30"/>
        <v>-23.31833594650719</v>
      </c>
      <c r="O39" s="73">
        <f t="shared" si="31"/>
        <v>79.20083379843803</v>
      </c>
      <c r="P39" s="73">
        <f t="shared" si="32"/>
        <v>-6.181110465744723</v>
      </c>
      <c r="Q39" s="73"/>
      <c r="R39" s="71">
        <f t="shared" si="6"/>
        <v>12.681110465744723</v>
      </c>
      <c r="S39" s="71">
        <f t="shared" si="7"/>
        <v>1.3336721782586594</v>
      </c>
      <c r="T39" s="71">
        <f t="shared" si="33"/>
        <v>0</v>
      </c>
      <c r="U39" s="601"/>
      <c r="V39" s="596">
        <f t="shared" si="49"/>
        <v>0.9048381832143998</v>
      </c>
      <c r="W39" s="609">
        <f t="shared" si="9"/>
      </c>
      <c r="X39" s="605"/>
      <c r="Y39" s="671"/>
      <c r="Z39" s="25">
        <f t="shared" si="10"/>
        <v>23.448045645453604</v>
      </c>
      <c r="AA39" s="25">
        <f t="shared" si="34"/>
        <v>80.3198731902897</v>
      </c>
      <c r="AB39" s="25">
        <f t="shared" si="35"/>
        <v>10.70931642537196</v>
      </c>
      <c r="AC39" s="25"/>
      <c r="AD39" s="203"/>
      <c r="AE39" s="203"/>
      <c r="AF39" s="203"/>
      <c r="AG39" s="620"/>
      <c r="AH39" s="69"/>
      <c r="AI39" s="69"/>
      <c r="AJ39" s="319" t="str">
        <f t="shared" si="36"/>
        <v>J3</v>
      </c>
      <c r="AK39" s="69">
        <f t="shared" si="11"/>
        <v>-1.3336721782586594</v>
      </c>
      <c r="AL39" s="320">
        <f t="shared" si="12"/>
        <v>0</v>
      </c>
      <c r="AM39" s="69"/>
      <c r="AN39" s="244"/>
      <c r="AO39" s="239"/>
      <c r="AP39" s="239"/>
      <c r="AQ39" s="239"/>
      <c r="AR39" s="244"/>
      <c r="AS39" s="244"/>
      <c r="AT39" s="244"/>
      <c r="AU39" s="244"/>
      <c r="AV39" s="244"/>
      <c r="AW39" s="244"/>
      <c r="AX39" s="244"/>
      <c r="AY39" s="244"/>
      <c r="AZ39" s="321" t="str">
        <f t="shared" si="37"/>
        <v>J3</v>
      </c>
      <c r="BA39" s="73">
        <f t="shared" si="38"/>
        <v>6.5</v>
      </c>
      <c r="BB39" s="322">
        <f t="shared" si="13"/>
        <v>14.014782644003382</v>
      </c>
      <c r="BC39" s="323">
        <f t="shared" si="1"/>
        <v>12.681110465744723</v>
      </c>
      <c r="BD39" s="235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319" t="str">
        <f t="shared" si="39"/>
        <v>J3</v>
      </c>
      <c r="BQ39" s="69">
        <f t="shared" si="14"/>
        <v>100</v>
      </c>
      <c r="BR39" s="320">
        <f t="shared" si="15"/>
        <v>79.20083379843803</v>
      </c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319" t="str">
        <f t="shared" si="40"/>
        <v>J3</v>
      </c>
      <c r="CE39" s="69">
        <f t="shared" si="16"/>
        <v>14.014782644003382</v>
      </c>
      <c r="CF39" s="320">
        <f t="shared" si="17"/>
        <v>14.014782644003382</v>
      </c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590">
        <f t="shared" si="18"/>
        <v>0</v>
      </c>
      <c r="CT39" s="253">
        <f t="shared" si="19"/>
        <v>-1.3336721782586594</v>
      </c>
      <c r="CU39" s="253">
        <f t="shared" si="20"/>
        <v>-6.181110465744723</v>
      </c>
      <c r="CV39" s="591">
        <f t="shared" si="21"/>
        <v>0</v>
      </c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I39" s="596">
        <f t="shared" si="41"/>
        <v>3004.2808692959584</v>
      </c>
      <c r="EJ39" s="233">
        <f t="shared" si="22"/>
        <v>0</v>
      </c>
      <c r="EK39" s="233">
        <f t="shared" si="23"/>
        <v>0</v>
      </c>
      <c r="EL39" s="73">
        <f t="shared" si="24"/>
      </c>
      <c r="EP39" s="162">
        <f t="shared" si="25"/>
        <v>1</v>
      </c>
      <c r="EQ39" s="162">
        <f aca="true" t="shared" si="50" ref="EQ39:FA54">IF(AND(EP38=1,EP39=0),1,0)</f>
        <v>0</v>
      </c>
      <c r="ER39" s="162">
        <f t="shared" si="50"/>
        <v>1</v>
      </c>
      <c r="ES39" s="162">
        <f t="shared" si="50"/>
        <v>0</v>
      </c>
      <c r="ET39" s="162">
        <f t="shared" si="50"/>
        <v>0</v>
      </c>
      <c r="EU39" s="162">
        <f t="shared" si="50"/>
        <v>1</v>
      </c>
      <c r="EV39" s="162">
        <f t="shared" si="50"/>
        <v>0</v>
      </c>
      <c r="EW39" s="162">
        <f t="shared" si="50"/>
        <v>0</v>
      </c>
      <c r="EX39" s="162">
        <f t="shared" si="50"/>
        <v>0</v>
      </c>
      <c r="EY39" s="162">
        <f t="shared" si="50"/>
        <v>1</v>
      </c>
      <c r="EZ39" s="162">
        <f t="shared" si="50"/>
        <v>0</v>
      </c>
      <c r="FA39" s="162">
        <f t="shared" si="50"/>
        <v>0</v>
      </c>
      <c r="FB39" s="162">
        <f t="shared" si="43"/>
        <v>0</v>
      </c>
      <c r="FC39" s="162">
        <f t="shared" si="27"/>
        <v>0</v>
      </c>
      <c r="FD39" s="162">
        <f t="shared" si="44"/>
        <v>1</v>
      </c>
      <c r="FE39" s="163">
        <f t="shared" si="45"/>
        <v>79.20083379843803</v>
      </c>
      <c r="FF39" s="164"/>
      <c r="FG39" s="164"/>
      <c r="FH39" s="164"/>
      <c r="FI39" s="164"/>
      <c r="FJ39" s="164"/>
      <c r="FK39" s="164"/>
      <c r="FL39" s="165">
        <f t="shared" si="46"/>
        <v>0</v>
      </c>
      <c r="FM39" s="165">
        <f t="shared" si="47"/>
        <v>356.76617074022477</v>
      </c>
      <c r="FN39" s="162">
        <f t="shared" si="48"/>
        <v>1</v>
      </c>
      <c r="FO39" s="164"/>
    </row>
    <row r="40" spans="1:171" ht="12.75">
      <c r="A40" s="239"/>
      <c r="B40" s="166" t="s">
        <v>92</v>
      </c>
      <c r="C40" s="114">
        <v>10</v>
      </c>
      <c r="D40" s="233">
        <f t="shared" si="28"/>
        <v>183</v>
      </c>
      <c r="E40" s="157">
        <v>17</v>
      </c>
      <c r="F40" s="157">
        <v>19</v>
      </c>
      <c r="G40" s="114">
        <v>1</v>
      </c>
      <c r="H40" s="114">
        <v>1</v>
      </c>
      <c r="I40" s="665">
        <f t="shared" si="29"/>
      </c>
      <c r="J40" s="464">
        <f t="shared" si="2"/>
        <v>10.734057255907912</v>
      </c>
      <c r="K40" s="195">
        <f t="shared" si="3"/>
        <v>14.04715981436806</v>
      </c>
      <c r="L40" s="194">
        <f t="shared" si="4"/>
        <v>14.04715981436806</v>
      </c>
      <c r="M40" s="71">
        <f t="shared" si="5"/>
        <v>4.95284018563194</v>
      </c>
      <c r="N40" s="71">
        <f t="shared" si="30"/>
        <v>-17.252560636293012</v>
      </c>
      <c r="O40" s="73">
        <f t="shared" si="31"/>
        <v>84.15367398406997</v>
      </c>
      <c r="P40" s="73">
        <f t="shared" si="32"/>
        <v>4.952840185631942</v>
      </c>
      <c r="Q40" s="73"/>
      <c r="R40" s="71">
        <f t="shared" si="6"/>
        <v>14.04715981436806</v>
      </c>
      <c r="S40" s="71">
        <f t="shared" si="7"/>
        <v>0</v>
      </c>
      <c r="T40" s="71">
        <f t="shared" si="33"/>
        <v>0</v>
      </c>
      <c r="U40" s="601"/>
      <c r="V40" s="596">
        <f t="shared" si="49"/>
        <v>1</v>
      </c>
      <c r="W40" s="609">
        <f t="shared" si="9"/>
      </c>
      <c r="X40" s="605"/>
      <c r="Y40" s="671"/>
      <c r="Z40" s="25">
        <f t="shared" si="10"/>
        <v>23.049627643930584</v>
      </c>
      <c r="AA40" s="25">
        <f t="shared" si="34"/>
        <v>80.50542941930934</v>
      </c>
      <c r="AB40" s="25">
        <f t="shared" si="35"/>
        <v>10.734057255907912</v>
      </c>
      <c r="AC40" s="25"/>
      <c r="AD40" s="203"/>
      <c r="AE40" s="203"/>
      <c r="AF40" s="203"/>
      <c r="AG40" s="620"/>
      <c r="AH40" s="69"/>
      <c r="AI40" s="69"/>
      <c r="AJ40" s="319" t="str">
        <f t="shared" si="36"/>
        <v>J1</v>
      </c>
      <c r="AK40" s="69">
        <f t="shared" si="11"/>
        <v>0</v>
      </c>
      <c r="AL40" s="320">
        <f t="shared" si="12"/>
        <v>0</v>
      </c>
      <c r="AM40" s="69"/>
      <c r="AN40" s="244"/>
      <c r="AO40" s="239"/>
      <c r="AP40" s="239"/>
      <c r="AQ40" s="239"/>
      <c r="AR40" s="244"/>
      <c r="AS40" s="244"/>
      <c r="AT40" s="244"/>
      <c r="AU40" s="244"/>
      <c r="AV40" s="244"/>
      <c r="AW40" s="244"/>
      <c r="AX40" s="244"/>
      <c r="AY40" s="244"/>
      <c r="AZ40" s="321" t="str">
        <f t="shared" si="37"/>
        <v>J1</v>
      </c>
      <c r="BA40" s="73">
        <f t="shared" si="38"/>
        <v>19</v>
      </c>
      <c r="BB40" s="322">
        <f t="shared" si="13"/>
        <v>14.04715981436806</v>
      </c>
      <c r="BC40" s="323">
        <f t="shared" si="1"/>
        <v>14.04715981436806</v>
      </c>
      <c r="BD40" s="235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319" t="str">
        <f t="shared" si="39"/>
        <v>J1</v>
      </c>
      <c r="BQ40" s="69">
        <f t="shared" si="14"/>
        <v>100</v>
      </c>
      <c r="BR40" s="320">
        <f t="shared" si="15"/>
        <v>84.15367398406997</v>
      </c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319" t="str">
        <f t="shared" si="40"/>
        <v>J1</v>
      </c>
      <c r="CE40" s="69">
        <f t="shared" si="16"/>
        <v>14.04715981436806</v>
      </c>
      <c r="CF40" s="320">
        <f t="shared" si="17"/>
        <v>14.04715981436806</v>
      </c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590">
        <f t="shared" si="18"/>
        <v>0</v>
      </c>
      <c r="CT40" s="253">
        <f t="shared" si="19"/>
        <v>0</v>
      </c>
      <c r="CU40" s="253">
        <f t="shared" si="20"/>
        <v>0</v>
      </c>
      <c r="CV40" s="591">
        <f t="shared" si="21"/>
        <v>4.952840185631942</v>
      </c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I40" s="596">
        <f t="shared" si="41"/>
        <v>3004.2808692959584</v>
      </c>
      <c r="EJ40" s="233">
        <f t="shared" si="22"/>
        <v>0</v>
      </c>
      <c r="EK40" s="233">
        <f t="shared" si="23"/>
        <v>0</v>
      </c>
      <c r="EL40" s="73">
        <f t="shared" si="24"/>
      </c>
      <c r="EP40" s="162">
        <f t="shared" si="25"/>
        <v>0</v>
      </c>
      <c r="EQ40" s="162">
        <f t="shared" si="50"/>
        <v>1</v>
      </c>
      <c r="ER40" s="162">
        <f t="shared" si="50"/>
        <v>0</v>
      </c>
      <c r="ES40" s="162">
        <f t="shared" si="50"/>
        <v>1</v>
      </c>
      <c r="ET40" s="162">
        <f t="shared" si="50"/>
        <v>0</v>
      </c>
      <c r="EU40" s="162">
        <f t="shared" si="50"/>
        <v>0</v>
      </c>
      <c r="EV40" s="162">
        <f t="shared" si="50"/>
        <v>1</v>
      </c>
      <c r="EW40" s="162">
        <f t="shared" si="50"/>
        <v>0</v>
      </c>
      <c r="EX40" s="162">
        <f t="shared" si="50"/>
        <v>0</v>
      </c>
      <c r="EY40" s="162">
        <f t="shared" si="50"/>
        <v>0</v>
      </c>
      <c r="EZ40" s="162">
        <f t="shared" si="50"/>
        <v>1</v>
      </c>
      <c r="FA40" s="162">
        <f t="shared" si="50"/>
        <v>0</v>
      </c>
      <c r="FB40" s="162">
        <f t="shared" si="43"/>
        <v>0</v>
      </c>
      <c r="FC40" s="162">
        <f t="shared" si="27"/>
        <v>0</v>
      </c>
      <c r="FD40" s="162">
        <f t="shared" si="44"/>
        <v>1</v>
      </c>
      <c r="FE40" s="163">
        <f t="shared" si="45"/>
        <v>84.15367398406997</v>
      </c>
      <c r="FF40" s="164"/>
      <c r="FG40" s="164"/>
      <c r="FH40" s="164"/>
      <c r="FI40" s="164"/>
      <c r="FJ40" s="164"/>
      <c r="FK40" s="164"/>
      <c r="FL40" s="165">
        <f t="shared" si="46"/>
        <v>4.95284018563194</v>
      </c>
      <c r="FM40" s="165">
        <f t="shared" si="47"/>
        <v>361.7190109258567</v>
      </c>
      <c r="FN40" s="162">
        <f t="shared" si="48"/>
        <v>1</v>
      </c>
      <c r="FO40" s="164"/>
    </row>
    <row r="41" spans="1:171" ht="12.75">
      <c r="A41" s="239"/>
      <c r="B41" s="166" t="s">
        <v>93</v>
      </c>
      <c r="C41" s="114">
        <v>10</v>
      </c>
      <c r="D41" s="233">
        <f t="shared" si="28"/>
        <v>193</v>
      </c>
      <c r="E41" s="157">
        <v>17.5</v>
      </c>
      <c r="F41" s="157">
        <v>9.2</v>
      </c>
      <c r="G41" s="114">
        <v>1</v>
      </c>
      <c r="H41" s="114">
        <v>1</v>
      </c>
      <c r="I41" s="665">
        <f t="shared" si="29"/>
      </c>
      <c r="J41" s="464">
        <f t="shared" si="2"/>
        <v>10.800319064245192</v>
      </c>
      <c r="K41" s="195">
        <f t="shared" si="3"/>
        <v>15.15217951927038</v>
      </c>
      <c r="L41" s="194">
        <f t="shared" si="4"/>
        <v>15.15217951927038</v>
      </c>
      <c r="M41" s="71">
        <f t="shared" si="5"/>
        <v>-5.952179519270381</v>
      </c>
      <c r="N41" s="71">
        <f t="shared" si="30"/>
        <v>-23.204740155563393</v>
      </c>
      <c r="O41" s="73">
        <f t="shared" si="31"/>
        <v>79.29085373177293</v>
      </c>
      <c r="P41" s="73">
        <f t="shared" si="32"/>
        <v>-4.862820252297041</v>
      </c>
      <c r="Q41" s="73"/>
      <c r="R41" s="71">
        <f t="shared" si="6"/>
        <v>14.06282025229704</v>
      </c>
      <c r="S41" s="71">
        <f t="shared" si="7"/>
        <v>1.0893592669733394</v>
      </c>
      <c r="T41" s="71">
        <f t="shared" si="33"/>
        <v>0</v>
      </c>
      <c r="U41" s="601"/>
      <c r="V41" s="596">
        <f t="shared" si="49"/>
        <v>0.9281054408319341</v>
      </c>
      <c r="W41" s="609">
        <f t="shared" si="9"/>
      </c>
      <c r="X41" s="605"/>
      <c r="Y41" s="671"/>
      <c r="Z41" s="25">
        <f t="shared" si="10"/>
        <v>21.96986757062787</v>
      </c>
      <c r="AA41" s="25">
        <f t="shared" si="34"/>
        <v>81.00239298183894</v>
      </c>
      <c r="AB41" s="25">
        <f t="shared" si="35"/>
        <v>10.800319064245192</v>
      </c>
      <c r="AC41" s="25"/>
      <c r="AD41" s="203"/>
      <c r="AE41" s="203"/>
      <c r="AF41" s="203"/>
      <c r="AG41" s="620"/>
      <c r="AH41" s="69"/>
      <c r="AI41" s="69"/>
      <c r="AJ41" s="319" t="str">
        <f t="shared" si="36"/>
        <v>J2</v>
      </c>
      <c r="AK41" s="69">
        <f t="shared" si="11"/>
        <v>-1.0893592669733394</v>
      </c>
      <c r="AL41" s="320">
        <f t="shared" si="12"/>
        <v>0</v>
      </c>
      <c r="AM41" s="69"/>
      <c r="AN41" s="244"/>
      <c r="AO41" s="239"/>
      <c r="AP41" s="239"/>
      <c r="AQ41" s="239"/>
      <c r="AR41" s="244"/>
      <c r="AS41" s="244"/>
      <c r="AT41" s="244"/>
      <c r="AU41" s="244"/>
      <c r="AV41" s="244"/>
      <c r="AW41" s="244"/>
      <c r="AX41" s="244"/>
      <c r="AY41" s="244"/>
      <c r="AZ41" s="321" t="str">
        <f t="shared" si="37"/>
        <v>J2</v>
      </c>
      <c r="BA41" s="73">
        <f t="shared" si="38"/>
        <v>9.2</v>
      </c>
      <c r="BB41" s="322">
        <f t="shared" si="13"/>
        <v>15.15217951927038</v>
      </c>
      <c r="BC41" s="323">
        <f t="shared" si="1"/>
        <v>14.06282025229704</v>
      </c>
      <c r="BD41" s="235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319" t="str">
        <f t="shared" si="39"/>
        <v>J2</v>
      </c>
      <c r="BQ41" s="69">
        <f t="shared" si="14"/>
        <v>100</v>
      </c>
      <c r="BR41" s="320">
        <f t="shared" si="15"/>
        <v>79.29085373177293</v>
      </c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319" t="str">
        <f t="shared" si="40"/>
        <v>J2</v>
      </c>
      <c r="CE41" s="69">
        <f t="shared" si="16"/>
        <v>15.15217951927038</v>
      </c>
      <c r="CF41" s="320">
        <f t="shared" si="17"/>
        <v>15.15217951927038</v>
      </c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590">
        <f t="shared" si="18"/>
        <v>0</v>
      </c>
      <c r="CT41" s="253">
        <f t="shared" si="19"/>
        <v>-1.0893592669733394</v>
      </c>
      <c r="CU41" s="253">
        <f t="shared" si="20"/>
        <v>-4.862820252297041</v>
      </c>
      <c r="CV41" s="591">
        <f t="shared" si="21"/>
        <v>0</v>
      </c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I41" s="596">
        <f t="shared" si="41"/>
        <v>2788.2894205808716</v>
      </c>
      <c r="EJ41" s="233">
        <f t="shared" si="22"/>
        <v>0</v>
      </c>
      <c r="EK41" s="233">
        <f t="shared" si="23"/>
        <v>0</v>
      </c>
      <c r="EL41" s="73">
        <f t="shared" si="24"/>
      </c>
      <c r="EP41" s="162">
        <f t="shared" si="25"/>
        <v>1</v>
      </c>
      <c r="EQ41" s="162">
        <f t="shared" si="50"/>
        <v>0</v>
      </c>
      <c r="ER41" s="162">
        <f t="shared" si="50"/>
        <v>1</v>
      </c>
      <c r="ES41" s="162">
        <f t="shared" si="50"/>
        <v>0</v>
      </c>
      <c r="ET41" s="162">
        <f t="shared" si="50"/>
        <v>1</v>
      </c>
      <c r="EU41" s="162">
        <f t="shared" si="50"/>
        <v>0</v>
      </c>
      <c r="EV41" s="162">
        <f t="shared" si="50"/>
        <v>0</v>
      </c>
      <c r="EW41" s="162">
        <f t="shared" si="50"/>
        <v>1</v>
      </c>
      <c r="EX41" s="162">
        <f t="shared" si="50"/>
        <v>0</v>
      </c>
      <c r="EY41" s="162">
        <f t="shared" si="50"/>
        <v>0</v>
      </c>
      <c r="EZ41" s="162">
        <f t="shared" si="50"/>
        <v>0</v>
      </c>
      <c r="FA41" s="162">
        <f t="shared" si="50"/>
        <v>1</v>
      </c>
      <c r="FB41" s="162">
        <f t="shared" si="43"/>
        <v>0</v>
      </c>
      <c r="FC41" s="162">
        <f t="shared" si="27"/>
        <v>0</v>
      </c>
      <c r="FD41" s="162">
        <f t="shared" si="44"/>
        <v>1</v>
      </c>
      <c r="FE41" s="163">
        <f t="shared" si="45"/>
        <v>79.29085373177293</v>
      </c>
      <c r="FF41" s="164"/>
      <c r="FG41" s="164"/>
      <c r="FH41" s="164"/>
      <c r="FI41" s="164"/>
      <c r="FJ41" s="164"/>
      <c r="FK41" s="164"/>
      <c r="FL41" s="165">
        <f t="shared" si="46"/>
        <v>0</v>
      </c>
      <c r="FM41" s="165">
        <f t="shared" si="47"/>
        <v>361.7190109258567</v>
      </c>
      <c r="FN41" s="162">
        <f t="shared" si="48"/>
        <v>1</v>
      </c>
      <c r="FO41" s="164"/>
    </row>
    <row r="42" spans="1:171" ht="12.75">
      <c r="A42" s="239"/>
      <c r="B42" s="166" t="s">
        <v>94</v>
      </c>
      <c r="C42" s="114">
        <v>11</v>
      </c>
      <c r="D42" s="233">
        <f t="shared" si="28"/>
        <v>203</v>
      </c>
      <c r="E42" s="157">
        <v>17.8</v>
      </c>
      <c r="F42" s="157">
        <v>0</v>
      </c>
      <c r="G42" s="114">
        <v>1</v>
      </c>
      <c r="H42" s="114">
        <v>1</v>
      </c>
      <c r="I42" s="665">
        <f t="shared" si="29"/>
      </c>
      <c r="J42" s="464">
        <f t="shared" si="2"/>
        <v>10.904198177300021</v>
      </c>
      <c r="K42" s="195">
        <f t="shared" si="3"/>
        <v>17.528374004984542</v>
      </c>
      <c r="L42" s="194">
        <f t="shared" si="4"/>
        <v>17.528374004984542</v>
      </c>
      <c r="M42" s="71">
        <f t="shared" si="5"/>
        <v>-17.528374004984542</v>
      </c>
      <c r="N42" s="71">
        <f t="shared" si="30"/>
        <v>-40.733114160547935</v>
      </c>
      <c r="O42" s="73">
        <f t="shared" si="31"/>
        <v>66.54238043071666</v>
      </c>
      <c r="P42" s="73">
        <f t="shared" si="32"/>
        <v>-12.748473301056265</v>
      </c>
      <c r="Q42" s="73"/>
      <c r="R42" s="71">
        <f t="shared" si="6"/>
        <v>12.748473301056265</v>
      </c>
      <c r="S42" s="71">
        <f t="shared" si="7"/>
        <v>4.779900703928277</v>
      </c>
      <c r="T42" s="71">
        <f t="shared" si="33"/>
        <v>0</v>
      </c>
      <c r="U42" s="601"/>
      <c r="V42" s="596">
        <f t="shared" si="49"/>
        <v>0.7273049569475745</v>
      </c>
      <c r="W42" s="609">
        <f t="shared" si="9"/>
      </c>
      <c r="X42" s="605"/>
      <c r="Y42" s="671"/>
      <c r="Z42" s="25">
        <f t="shared" si="10"/>
        <v>20.240682902770423</v>
      </c>
      <c r="AA42" s="25">
        <f t="shared" si="34"/>
        <v>81.78148632975015</v>
      </c>
      <c r="AB42" s="25">
        <f t="shared" si="35"/>
        <v>10.904198177300021</v>
      </c>
      <c r="AC42" s="25"/>
      <c r="AD42" s="203"/>
      <c r="AE42" s="203"/>
      <c r="AF42" s="203"/>
      <c r="AG42" s="620"/>
      <c r="AH42" s="69"/>
      <c r="AI42" s="69"/>
      <c r="AJ42" s="319" t="str">
        <f t="shared" si="36"/>
        <v>J3</v>
      </c>
      <c r="AK42" s="69">
        <f t="shared" si="11"/>
        <v>-4.779900703928277</v>
      </c>
      <c r="AL42" s="320">
        <f t="shared" si="12"/>
        <v>0</v>
      </c>
      <c r="AM42" s="69"/>
      <c r="AN42" s="244"/>
      <c r="AO42" s="239"/>
      <c r="AP42" s="239"/>
      <c r="AQ42" s="239"/>
      <c r="AR42" s="244"/>
      <c r="AS42" s="244"/>
      <c r="AT42" s="244"/>
      <c r="AU42" s="244"/>
      <c r="AV42" s="244"/>
      <c r="AW42" s="244"/>
      <c r="AX42" s="244"/>
      <c r="AY42" s="244"/>
      <c r="AZ42" s="321" t="str">
        <f t="shared" si="37"/>
        <v>J3</v>
      </c>
      <c r="BA42" s="73">
        <f t="shared" si="38"/>
        <v>0</v>
      </c>
      <c r="BB42" s="322">
        <f t="shared" si="13"/>
        <v>17.528374004984542</v>
      </c>
      <c r="BC42" s="323">
        <f t="shared" si="1"/>
        <v>12.748473301056265</v>
      </c>
      <c r="BD42" s="235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319" t="str">
        <f t="shared" si="39"/>
        <v>J3</v>
      </c>
      <c r="BQ42" s="69">
        <f t="shared" si="14"/>
        <v>100</v>
      </c>
      <c r="BR42" s="320">
        <f t="shared" si="15"/>
        <v>66.54238043071666</v>
      </c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319" t="str">
        <f t="shared" si="40"/>
        <v>J3</v>
      </c>
      <c r="CE42" s="69">
        <f t="shared" si="16"/>
        <v>17.528374004984542</v>
      </c>
      <c r="CF42" s="320">
        <f t="shared" si="17"/>
        <v>17.528374004984542</v>
      </c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590">
        <f t="shared" si="18"/>
        <v>0</v>
      </c>
      <c r="CT42" s="253">
        <f t="shared" si="19"/>
        <v>-4.779900703928277</v>
      </c>
      <c r="CU42" s="253">
        <f t="shared" si="20"/>
        <v>-12.748473301056265</v>
      </c>
      <c r="CV42" s="591">
        <f t="shared" si="21"/>
        <v>0</v>
      </c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I42" s="596">
        <f t="shared" si="41"/>
        <v>2027.9367169929483</v>
      </c>
      <c r="EJ42" s="233">
        <f t="shared" si="22"/>
        <v>0</v>
      </c>
      <c r="EK42" s="233">
        <f t="shared" si="23"/>
        <v>0</v>
      </c>
      <c r="EL42" s="73">
        <f t="shared" si="24"/>
      </c>
      <c r="EP42" s="162">
        <f t="shared" si="25"/>
        <v>1</v>
      </c>
      <c r="EQ42" s="162">
        <f t="shared" si="50"/>
        <v>0</v>
      </c>
      <c r="ER42" s="162">
        <f t="shared" si="50"/>
        <v>0</v>
      </c>
      <c r="ES42" s="162">
        <f t="shared" si="50"/>
        <v>1</v>
      </c>
      <c r="ET42" s="162">
        <f t="shared" si="50"/>
        <v>0</v>
      </c>
      <c r="EU42" s="162">
        <f t="shared" si="50"/>
        <v>1</v>
      </c>
      <c r="EV42" s="162">
        <f t="shared" si="50"/>
        <v>0</v>
      </c>
      <c r="EW42" s="162">
        <f t="shared" si="50"/>
        <v>0</v>
      </c>
      <c r="EX42" s="162">
        <f t="shared" si="50"/>
        <v>1</v>
      </c>
      <c r="EY42" s="162">
        <f t="shared" si="50"/>
        <v>0</v>
      </c>
      <c r="EZ42" s="162">
        <f t="shared" si="50"/>
        <v>0</v>
      </c>
      <c r="FA42" s="162">
        <f t="shared" si="50"/>
        <v>0</v>
      </c>
      <c r="FB42" s="162">
        <f t="shared" si="43"/>
        <v>0</v>
      </c>
      <c r="FC42" s="162">
        <f t="shared" si="27"/>
        <v>0</v>
      </c>
      <c r="FD42" s="162">
        <f t="shared" si="44"/>
        <v>1</v>
      </c>
      <c r="FE42" s="163">
        <f t="shared" si="45"/>
        <v>66.54238043071666</v>
      </c>
      <c r="FF42" s="164"/>
      <c r="FG42" s="164"/>
      <c r="FH42" s="164"/>
      <c r="FI42" s="164"/>
      <c r="FJ42" s="164"/>
      <c r="FK42" s="164"/>
      <c r="FL42" s="165">
        <f t="shared" si="46"/>
        <v>0</v>
      </c>
      <c r="FM42" s="165">
        <f t="shared" si="47"/>
        <v>361.7190109258567</v>
      </c>
      <c r="FN42" s="162">
        <f t="shared" si="48"/>
        <v>1</v>
      </c>
      <c r="FO42" s="164"/>
    </row>
    <row r="43" spans="1:171" ht="12.75">
      <c r="A43" s="239"/>
      <c r="B43" s="166" t="s">
        <v>101</v>
      </c>
      <c r="C43" s="114">
        <v>10</v>
      </c>
      <c r="D43" s="233">
        <f t="shared" si="28"/>
        <v>214</v>
      </c>
      <c r="E43" s="157">
        <v>18</v>
      </c>
      <c r="F43" s="157">
        <v>0</v>
      </c>
      <c r="G43" s="114">
        <v>1</v>
      </c>
      <c r="H43" s="114">
        <v>1</v>
      </c>
      <c r="I43" s="665">
        <f t="shared" si="29"/>
      </c>
      <c r="J43" s="464">
        <f t="shared" si="2"/>
        <v>11.055268819056296</v>
      </c>
      <c r="K43" s="195">
        <f t="shared" si="3"/>
        <v>16.594742740697537</v>
      </c>
      <c r="L43" s="194">
        <f t="shared" si="4"/>
        <v>16.594742740697537</v>
      </c>
      <c r="M43" s="71">
        <f t="shared" si="5"/>
        <v>-16.594742740697537</v>
      </c>
      <c r="N43" s="71">
        <f t="shared" si="30"/>
        <v>-57.32785690124547</v>
      </c>
      <c r="O43" s="73">
        <f t="shared" si="31"/>
        <v>56.36743606221791</v>
      </c>
      <c r="P43" s="73">
        <f t="shared" si="32"/>
        <v>-10.17494436849875</v>
      </c>
      <c r="Q43" s="73"/>
      <c r="R43" s="71">
        <f t="shared" si="6"/>
        <v>10.17494436849875</v>
      </c>
      <c r="S43" s="71">
        <f t="shared" si="7"/>
        <v>6.4197983721987875</v>
      </c>
      <c r="T43" s="71">
        <f t="shared" si="33"/>
        <v>0</v>
      </c>
      <c r="U43" s="601"/>
      <c r="V43" s="596">
        <f t="shared" si="49"/>
        <v>0.6131426396593275</v>
      </c>
      <c r="W43" s="609">
        <f t="shared" si="9"/>
      </c>
      <c r="X43" s="605"/>
      <c r="Y43" s="671"/>
      <c r="Z43" s="25">
        <f t="shared" si="10"/>
        <v>17.650037105625596</v>
      </c>
      <c r="AA43" s="25">
        <f t="shared" si="34"/>
        <v>82.91451614292222</v>
      </c>
      <c r="AB43" s="25">
        <f t="shared" si="35"/>
        <v>11.055268819056296</v>
      </c>
      <c r="AC43" s="25"/>
      <c r="AD43" s="203"/>
      <c r="AE43" s="203"/>
      <c r="AF43" s="203"/>
      <c r="AG43" s="620"/>
      <c r="AH43" s="69"/>
      <c r="AI43" s="69"/>
      <c r="AJ43" s="319" t="str">
        <f t="shared" si="36"/>
        <v>A1</v>
      </c>
      <c r="AK43" s="69">
        <f t="shared" si="11"/>
        <v>-6.4197983721987875</v>
      </c>
      <c r="AL43" s="320">
        <f t="shared" si="12"/>
        <v>0</v>
      </c>
      <c r="AM43" s="69"/>
      <c r="AN43" s="244"/>
      <c r="AO43" s="239"/>
      <c r="AP43" s="239"/>
      <c r="AQ43" s="239"/>
      <c r="AR43" s="244"/>
      <c r="AS43" s="244"/>
      <c r="AT43" s="244"/>
      <c r="AU43" s="244"/>
      <c r="AV43" s="244"/>
      <c r="AW43" s="244"/>
      <c r="AX43" s="244"/>
      <c r="AY43" s="244"/>
      <c r="AZ43" s="321" t="str">
        <f t="shared" si="37"/>
        <v>A1</v>
      </c>
      <c r="BA43" s="73">
        <f t="shared" si="38"/>
        <v>0</v>
      </c>
      <c r="BB43" s="322">
        <f t="shared" si="13"/>
        <v>16.594742740697537</v>
      </c>
      <c r="BC43" s="323">
        <f t="shared" si="1"/>
        <v>10.17494436849875</v>
      </c>
      <c r="BD43" s="235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319" t="str">
        <f t="shared" si="39"/>
        <v>A1</v>
      </c>
      <c r="BQ43" s="69">
        <f t="shared" si="14"/>
        <v>100</v>
      </c>
      <c r="BR43" s="320">
        <f t="shared" si="15"/>
        <v>56.36743606221791</v>
      </c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319" t="str">
        <f t="shared" si="40"/>
        <v>A1</v>
      </c>
      <c r="CE43" s="69">
        <f t="shared" si="16"/>
        <v>16.594742740697537</v>
      </c>
      <c r="CF43" s="320">
        <f t="shared" si="17"/>
        <v>16.594742740697537</v>
      </c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590">
        <f t="shared" si="18"/>
        <v>0</v>
      </c>
      <c r="CT43" s="253">
        <f t="shared" si="19"/>
        <v>-6.4197983721987875</v>
      </c>
      <c r="CU43" s="253">
        <f t="shared" si="20"/>
        <v>-10.17494436849875</v>
      </c>
      <c r="CV43" s="591">
        <f t="shared" si="21"/>
        <v>0</v>
      </c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I43" s="596">
        <f t="shared" si="41"/>
        <v>1243.4144717191268</v>
      </c>
      <c r="EJ43" s="233">
        <f t="shared" si="22"/>
        <v>0</v>
      </c>
      <c r="EK43" s="233">
        <f t="shared" si="23"/>
        <v>0</v>
      </c>
      <c r="EL43" s="73">
        <f t="shared" si="24"/>
      </c>
      <c r="EP43" s="162">
        <f t="shared" si="25"/>
        <v>1</v>
      </c>
      <c r="EQ43" s="162">
        <f t="shared" si="50"/>
        <v>0</v>
      </c>
      <c r="ER43" s="162">
        <f t="shared" si="50"/>
        <v>0</v>
      </c>
      <c r="ES43" s="162">
        <f t="shared" si="50"/>
        <v>0</v>
      </c>
      <c r="ET43" s="162">
        <f t="shared" si="50"/>
        <v>1</v>
      </c>
      <c r="EU43" s="162">
        <f t="shared" si="50"/>
        <v>0</v>
      </c>
      <c r="EV43" s="162">
        <f t="shared" si="50"/>
        <v>1</v>
      </c>
      <c r="EW43" s="162">
        <f t="shared" si="50"/>
        <v>0</v>
      </c>
      <c r="EX43" s="162">
        <f t="shared" si="50"/>
        <v>0</v>
      </c>
      <c r="EY43" s="162">
        <f t="shared" si="50"/>
        <v>1</v>
      </c>
      <c r="EZ43" s="162">
        <f t="shared" si="50"/>
        <v>0</v>
      </c>
      <c r="FA43" s="162">
        <f t="shared" si="50"/>
        <v>0</v>
      </c>
      <c r="FB43" s="162">
        <f t="shared" si="43"/>
        <v>0</v>
      </c>
      <c r="FC43" s="162">
        <f t="shared" si="27"/>
        <v>0</v>
      </c>
      <c r="FD43" s="162">
        <f t="shared" si="44"/>
        <v>1</v>
      </c>
      <c r="FE43" s="163">
        <f t="shared" si="45"/>
        <v>56.36743606221791</v>
      </c>
      <c r="FF43" s="164"/>
      <c r="FG43" s="164"/>
      <c r="FH43" s="164"/>
      <c r="FI43" s="164"/>
      <c r="FJ43" s="164"/>
      <c r="FK43" s="164"/>
      <c r="FL43" s="165">
        <f t="shared" si="46"/>
        <v>0</v>
      </c>
      <c r="FM43" s="165">
        <f t="shared" si="47"/>
        <v>361.7190109258567</v>
      </c>
      <c r="FN43" s="162">
        <f t="shared" si="48"/>
        <v>1</v>
      </c>
      <c r="FO43" s="164"/>
    </row>
    <row r="44" spans="1:171" ht="12.75">
      <c r="A44" s="239"/>
      <c r="B44" s="166" t="s">
        <v>102</v>
      </c>
      <c r="C44" s="114">
        <v>10</v>
      </c>
      <c r="D44" s="233">
        <f t="shared" si="28"/>
        <v>224</v>
      </c>
      <c r="E44" s="157">
        <v>18.5</v>
      </c>
      <c r="F44" s="157">
        <v>10.5</v>
      </c>
      <c r="G44" s="114">
        <v>1</v>
      </c>
      <c r="H44" s="114">
        <v>1</v>
      </c>
      <c r="I44" s="665">
        <f t="shared" si="29"/>
      </c>
      <c r="J44" s="464">
        <f t="shared" si="2"/>
        <v>11.219219597591234</v>
      </c>
      <c r="K44" s="195">
        <f t="shared" si="3"/>
        <v>17.985478700604958</v>
      </c>
      <c r="L44" s="194">
        <f t="shared" si="4"/>
        <v>17.985478700604958</v>
      </c>
      <c r="M44" s="71">
        <f t="shared" si="5"/>
        <v>-7.485478700604958</v>
      </c>
      <c r="N44" s="71">
        <f t="shared" si="30"/>
        <v>-64.81333560185043</v>
      </c>
      <c r="O44" s="73">
        <f t="shared" si="31"/>
        <v>52.30211604320863</v>
      </c>
      <c r="P44" s="73">
        <f t="shared" si="32"/>
        <v>-4.065320019009285</v>
      </c>
      <c r="Q44" s="73"/>
      <c r="R44" s="71">
        <f t="shared" si="6"/>
        <v>14.565320019009285</v>
      </c>
      <c r="S44" s="71">
        <f t="shared" si="7"/>
        <v>3.420158681595673</v>
      </c>
      <c r="T44" s="71">
        <f t="shared" si="33"/>
        <v>0</v>
      </c>
      <c r="U44" s="601"/>
      <c r="V44" s="596">
        <f t="shared" si="49"/>
        <v>0.809837773098548</v>
      </c>
      <c r="W44" s="609">
        <f t="shared" si="9"/>
      </c>
      <c r="X44" s="605"/>
      <c r="Y44" s="671"/>
      <c r="Z44" s="25">
        <f t="shared" si="10"/>
        <v>14.744488002272323</v>
      </c>
      <c r="AA44" s="25">
        <f t="shared" si="34"/>
        <v>84.14414698193426</v>
      </c>
      <c r="AB44" s="25">
        <f t="shared" si="35"/>
        <v>11.219219597591234</v>
      </c>
      <c r="AC44" s="25"/>
      <c r="AD44" s="203"/>
      <c r="AE44" s="203"/>
      <c r="AF44" s="203"/>
      <c r="AG44" s="620"/>
      <c r="AH44" s="69"/>
      <c r="AI44" s="69"/>
      <c r="AJ44" s="319" t="str">
        <f t="shared" si="36"/>
        <v>A2</v>
      </c>
      <c r="AK44" s="69">
        <f t="shared" si="11"/>
        <v>-3.420158681595673</v>
      </c>
      <c r="AL44" s="320">
        <f t="shared" si="12"/>
        <v>0</v>
      </c>
      <c r="AM44" s="69"/>
      <c r="AN44" s="244"/>
      <c r="AO44" s="239"/>
      <c r="AP44" s="239"/>
      <c r="AQ44" s="239"/>
      <c r="AR44" s="244"/>
      <c r="AS44" s="244"/>
      <c r="AT44" s="244"/>
      <c r="AU44" s="244"/>
      <c r="AV44" s="244"/>
      <c r="AW44" s="244"/>
      <c r="AX44" s="244"/>
      <c r="AY44" s="244"/>
      <c r="AZ44" s="321" t="str">
        <f t="shared" si="37"/>
        <v>A2</v>
      </c>
      <c r="BA44" s="73">
        <f t="shared" si="38"/>
        <v>10.5</v>
      </c>
      <c r="BB44" s="322">
        <f t="shared" si="13"/>
        <v>17.985478700604958</v>
      </c>
      <c r="BC44" s="323">
        <f t="shared" si="1"/>
        <v>14.565320019009285</v>
      </c>
      <c r="BD44" s="235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319" t="str">
        <f t="shared" si="39"/>
        <v>A2</v>
      </c>
      <c r="BQ44" s="69">
        <f t="shared" si="14"/>
        <v>100</v>
      </c>
      <c r="BR44" s="320">
        <f t="shared" si="15"/>
        <v>52.30211604320863</v>
      </c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319" t="str">
        <f t="shared" si="40"/>
        <v>A2</v>
      </c>
      <c r="CE44" s="69">
        <f t="shared" si="16"/>
        <v>17.985478700604958</v>
      </c>
      <c r="CF44" s="320">
        <f t="shared" si="17"/>
        <v>17.985478700604958</v>
      </c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590">
        <f t="shared" si="18"/>
        <v>0</v>
      </c>
      <c r="CT44" s="253">
        <f t="shared" si="19"/>
        <v>-3.420158681595673</v>
      </c>
      <c r="CU44" s="253">
        <f t="shared" si="20"/>
        <v>-4.065320019009285</v>
      </c>
      <c r="CV44" s="591">
        <f t="shared" si="21"/>
        <v>0</v>
      </c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I44" s="596">
        <f t="shared" si="41"/>
        <v>1006.9640068155252</v>
      </c>
      <c r="EJ44" s="233">
        <f t="shared" si="22"/>
        <v>0</v>
      </c>
      <c r="EK44" s="233">
        <f t="shared" si="23"/>
        <v>0</v>
      </c>
      <c r="EL44" s="73">
        <f t="shared" si="24"/>
      </c>
      <c r="EP44" s="162">
        <f t="shared" si="25"/>
        <v>1</v>
      </c>
      <c r="EQ44" s="162">
        <f t="shared" si="50"/>
        <v>0</v>
      </c>
      <c r="ER44" s="162">
        <f t="shared" si="50"/>
        <v>0</v>
      </c>
      <c r="ES44" s="162">
        <f t="shared" si="50"/>
        <v>0</v>
      </c>
      <c r="ET44" s="162">
        <f t="shared" si="50"/>
        <v>0</v>
      </c>
      <c r="EU44" s="162">
        <f t="shared" si="50"/>
        <v>1</v>
      </c>
      <c r="EV44" s="162">
        <f t="shared" si="50"/>
        <v>0</v>
      </c>
      <c r="EW44" s="162">
        <f t="shared" si="50"/>
        <v>1</v>
      </c>
      <c r="EX44" s="162">
        <f t="shared" si="50"/>
        <v>0</v>
      </c>
      <c r="EY44" s="162">
        <f t="shared" si="50"/>
        <v>0</v>
      </c>
      <c r="EZ44" s="162">
        <f t="shared" si="50"/>
        <v>1</v>
      </c>
      <c r="FA44" s="162">
        <f t="shared" si="50"/>
        <v>0</v>
      </c>
      <c r="FB44" s="162">
        <f t="shared" si="43"/>
        <v>0</v>
      </c>
      <c r="FC44" s="162">
        <f t="shared" si="27"/>
        <v>0</v>
      </c>
      <c r="FD44" s="162">
        <f t="shared" si="44"/>
        <v>1</v>
      </c>
      <c r="FE44" s="163">
        <f t="shared" si="45"/>
        <v>52.30211604320863</v>
      </c>
      <c r="FF44" s="164"/>
      <c r="FG44" s="164"/>
      <c r="FH44" s="164"/>
      <c r="FI44" s="164"/>
      <c r="FJ44" s="164"/>
      <c r="FK44" s="164"/>
      <c r="FL44" s="165">
        <f t="shared" si="46"/>
        <v>0</v>
      </c>
      <c r="FM44" s="165">
        <f t="shared" si="47"/>
        <v>361.7190109258567</v>
      </c>
      <c r="FN44" s="162">
        <f t="shared" si="48"/>
        <v>1</v>
      </c>
      <c r="FO44" s="164"/>
    </row>
    <row r="45" spans="1:171" ht="12.75">
      <c r="A45" s="239"/>
      <c r="B45" s="166" t="s">
        <v>103</v>
      </c>
      <c r="C45" s="114">
        <v>11</v>
      </c>
      <c r="D45" s="233">
        <f t="shared" si="28"/>
        <v>234</v>
      </c>
      <c r="E45" s="157">
        <v>19.5</v>
      </c>
      <c r="F45" s="157">
        <v>19.2</v>
      </c>
      <c r="G45" s="114">
        <v>1</v>
      </c>
      <c r="H45" s="114">
        <v>1</v>
      </c>
      <c r="I45" s="665">
        <f t="shared" si="29"/>
      </c>
      <c r="J45" s="464">
        <f t="shared" si="2"/>
        <v>11.402058131777993</v>
      </c>
      <c r="K45" s="195">
        <f t="shared" si="3"/>
        <v>22.814250610946278</v>
      </c>
      <c r="L45" s="194">
        <f t="shared" si="4"/>
        <v>22.814250610946278</v>
      </c>
      <c r="M45" s="71">
        <f t="shared" si="5"/>
        <v>-3.6142506109462786</v>
      </c>
      <c r="N45" s="71">
        <f t="shared" si="30"/>
        <v>-68.42758621279671</v>
      </c>
      <c r="O45" s="73">
        <f t="shared" si="31"/>
        <v>50.445539259921325</v>
      </c>
      <c r="P45" s="73">
        <f t="shared" si="32"/>
        <v>-1.8565767832873021</v>
      </c>
      <c r="Q45" s="73"/>
      <c r="R45" s="71">
        <f t="shared" si="6"/>
        <v>21.0565767832873</v>
      </c>
      <c r="S45" s="71">
        <f t="shared" si="7"/>
        <v>1.7576738276589765</v>
      </c>
      <c r="T45" s="71">
        <f t="shared" si="33"/>
        <v>0</v>
      </c>
      <c r="U45" s="601"/>
      <c r="V45" s="596">
        <f t="shared" si="49"/>
        <v>0.9229571964631771</v>
      </c>
      <c r="W45" s="609">
        <f t="shared" si="9"/>
      </c>
      <c r="X45" s="605"/>
      <c r="Y45" s="671"/>
      <c r="Z45" s="25">
        <f t="shared" si="10"/>
        <v>11.40309498169878</v>
      </c>
      <c r="AA45" s="25">
        <f t="shared" si="34"/>
        <v>85.51543598833494</v>
      </c>
      <c r="AB45" s="25">
        <f t="shared" si="35"/>
        <v>11.402058131777993</v>
      </c>
      <c r="AC45" s="25"/>
      <c r="AD45" s="203"/>
      <c r="AE45" s="203"/>
      <c r="AF45" s="203"/>
      <c r="AG45" s="620"/>
      <c r="AH45" s="69"/>
      <c r="AI45" s="69"/>
      <c r="AJ45" s="319" t="str">
        <f t="shared" si="36"/>
        <v>A3</v>
      </c>
      <c r="AK45" s="69">
        <f t="shared" si="11"/>
        <v>-1.7576738276589765</v>
      </c>
      <c r="AL45" s="320">
        <f t="shared" si="12"/>
        <v>0</v>
      </c>
      <c r="AM45" s="69"/>
      <c r="AN45" s="244"/>
      <c r="AO45" s="239"/>
      <c r="AP45" s="239"/>
      <c r="AQ45" s="239"/>
      <c r="AR45" s="244"/>
      <c r="AS45" s="244"/>
      <c r="AT45" s="244"/>
      <c r="AU45" s="244"/>
      <c r="AV45" s="244"/>
      <c r="AW45" s="244"/>
      <c r="AX45" s="244"/>
      <c r="AY45" s="244"/>
      <c r="AZ45" s="321" t="str">
        <f t="shared" si="37"/>
        <v>A3</v>
      </c>
      <c r="BA45" s="73">
        <f t="shared" si="38"/>
        <v>19.2</v>
      </c>
      <c r="BB45" s="322">
        <f t="shared" si="13"/>
        <v>22.814250610946278</v>
      </c>
      <c r="BC45" s="323">
        <f t="shared" si="1"/>
        <v>21.0565767832873</v>
      </c>
      <c r="BD45" s="235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319" t="str">
        <f t="shared" si="39"/>
        <v>A3</v>
      </c>
      <c r="BQ45" s="69">
        <f t="shared" si="14"/>
        <v>100</v>
      </c>
      <c r="BR45" s="320">
        <f t="shared" si="15"/>
        <v>50.445539259921325</v>
      </c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319" t="str">
        <f t="shared" si="40"/>
        <v>A3</v>
      </c>
      <c r="CE45" s="69">
        <f t="shared" si="16"/>
        <v>22.814250610946278</v>
      </c>
      <c r="CF45" s="320">
        <f t="shared" si="17"/>
        <v>22.814250610946278</v>
      </c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590">
        <f t="shared" si="18"/>
        <v>0</v>
      </c>
      <c r="CT45" s="253">
        <f t="shared" si="19"/>
        <v>-1.7576738276589765</v>
      </c>
      <c r="CU45" s="253">
        <f t="shared" si="20"/>
        <v>-1.8565767832873021</v>
      </c>
      <c r="CV45" s="591">
        <f t="shared" si="21"/>
        <v>0</v>
      </c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I45" s="596">
        <f t="shared" si="41"/>
        <v>929.3846766697847</v>
      </c>
      <c r="EJ45" s="233">
        <f t="shared" si="22"/>
        <v>0</v>
      </c>
      <c r="EK45" s="233">
        <f t="shared" si="23"/>
        <v>0</v>
      </c>
      <c r="EL45" s="73">
        <f t="shared" si="24"/>
      </c>
      <c r="EP45" s="162">
        <f t="shared" si="25"/>
        <v>1</v>
      </c>
      <c r="EQ45" s="162">
        <f t="shared" si="50"/>
        <v>0</v>
      </c>
      <c r="ER45" s="162">
        <f t="shared" si="50"/>
        <v>0</v>
      </c>
      <c r="ES45" s="162">
        <f t="shared" si="50"/>
        <v>0</v>
      </c>
      <c r="ET45" s="162">
        <f t="shared" si="50"/>
        <v>0</v>
      </c>
      <c r="EU45" s="162">
        <f t="shared" si="50"/>
        <v>0</v>
      </c>
      <c r="EV45" s="162">
        <f t="shared" si="50"/>
        <v>1</v>
      </c>
      <c r="EW45" s="162">
        <f t="shared" si="50"/>
        <v>0</v>
      </c>
      <c r="EX45" s="162">
        <f t="shared" si="50"/>
        <v>1</v>
      </c>
      <c r="EY45" s="162">
        <f t="shared" si="50"/>
        <v>0</v>
      </c>
      <c r="EZ45" s="162">
        <f t="shared" si="50"/>
        <v>0</v>
      </c>
      <c r="FA45" s="162">
        <f t="shared" si="50"/>
        <v>1</v>
      </c>
      <c r="FB45" s="162">
        <f t="shared" si="43"/>
        <v>0</v>
      </c>
      <c r="FC45" s="162">
        <f t="shared" si="27"/>
        <v>0</v>
      </c>
      <c r="FD45" s="162">
        <f t="shared" si="44"/>
        <v>1</v>
      </c>
      <c r="FE45" s="163">
        <f t="shared" si="45"/>
        <v>50.445539259921325</v>
      </c>
      <c r="FF45" s="164"/>
      <c r="FG45" s="164"/>
      <c r="FH45" s="164"/>
      <c r="FI45" s="164"/>
      <c r="FJ45" s="164"/>
      <c r="FK45" s="164"/>
      <c r="FL45" s="165">
        <f t="shared" si="46"/>
        <v>0</v>
      </c>
      <c r="FM45" s="165">
        <f t="shared" si="47"/>
        <v>361.7190109258567</v>
      </c>
      <c r="FN45" s="162">
        <f t="shared" si="48"/>
        <v>1</v>
      </c>
      <c r="FO45" s="164"/>
    </row>
    <row r="46" spans="1:171" ht="12.75">
      <c r="A46" s="239"/>
      <c r="B46" s="166" t="s">
        <v>104</v>
      </c>
      <c r="C46" s="114">
        <v>10</v>
      </c>
      <c r="D46" s="233">
        <f t="shared" si="28"/>
        <v>245</v>
      </c>
      <c r="E46" s="157">
        <v>20</v>
      </c>
      <c r="F46" s="157">
        <v>15</v>
      </c>
      <c r="G46" s="114">
        <v>1</v>
      </c>
      <c r="H46" s="114">
        <v>1</v>
      </c>
      <c r="I46" s="665">
        <f t="shared" si="29"/>
      </c>
      <c r="J46" s="464">
        <f t="shared" si="2"/>
        <v>11.618224567886697</v>
      </c>
      <c r="K46" s="195">
        <f t="shared" si="3"/>
        <v>22.457373440099886</v>
      </c>
      <c r="L46" s="194">
        <f t="shared" si="4"/>
        <v>22.457373440099886</v>
      </c>
      <c r="M46" s="71">
        <f t="shared" si="5"/>
        <v>-7.457373440099886</v>
      </c>
      <c r="N46" s="71">
        <f t="shared" si="30"/>
        <v>-75.8849596528966</v>
      </c>
      <c r="O46" s="73">
        <f t="shared" si="31"/>
        <v>46.82047416709864</v>
      </c>
      <c r="P46" s="73">
        <f t="shared" si="32"/>
        <v>-3.6250650928226875</v>
      </c>
      <c r="Q46" s="73"/>
      <c r="R46" s="71">
        <f t="shared" si="6"/>
        <v>18.625065092822688</v>
      </c>
      <c r="S46" s="71">
        <f t="shared" si="7"/>
        <v>3.8323083472771984</v>
      </c>
      <c r="T46" s="71">
        <f t="shared" si="33"/>
        <v>0</v>
      </c>
      <c r="U46" s="601"/>
      <c r="V46" s="596">
        <f t="shared" si="49"/>
        <v>0.8293518893694741</v>
      </c>
      <c r="W46" s="609">
        <f t="shared" si="9"/>
      </c>
      <c r="X46" s="605"/>
      <c r="Y46" s="671"/>
      <c r="Z46" s="25">
        <f t="shared" si="10"/>
        <v>7.342360109945141</v>
      </c>
      <c r="AA46" s="25">
        <f t="shared" si="34"/>
        <v>87.13668425915023</v>
      </c>
      <c r="AB46" s="25">
        <f t="shared" si="35"/>
        <v>11.618224567886697</v>
      </c>
      <c r="AC46" s="25"/>
      <c r="AD46" s="203"/>
      <c r="AE46" s="203"/>
      <c r="AF46" s="203"/>
      <c r="AG46" s="620"/>
      <c r="AH46" s="69"/>
      <c r="AI46" s="69"/>
      <c r="AJ46" s="319" t="str">
        <f t="shared" si="36"/>
        <v>S1</v>
      </c>
      <c r="AK46" s="69">
        <f t="shared" si="11"/>
        <v>-3.8323083472771984</v>
      </c>
      <c r="AL46" s="320">
        <f t="shared" si="12"/>
        <v>0</v>
      </c>
      <c r="AM46" s="69"/>
      <c r="AN46" s="244"/>
      <c r="AO46" s="239"/>
      <c r="AP46" s="239"/>
      <c r="AQ46" s="239"/>
      <c r="AR46" s="244"/>
      <c r="AS46" s="244"/>
      <c r="AT46" s="244"/>
      <c r="AU46" s="244"/>
      <c r="AV46" s="244"/>
      <c r="AW46" s="244"/>
      <c r="AX46" s="244"/>
      <c r="AY46" s="244"/>
      <c r="AZ46" s="321" t="str">
        <f t="shared" si="37"/>
        <v>S1</v>
      </c>
      <c r="BA46" s="73">
        <f t="shared" si="38"/>
        <v>15</v>
      </c>
      <c r="BB46" s="322">
        <f t="shared" si="13"/>
        <v>22.457373440099886</v>
      </c>
      <c r="BC46" s="323">
        <f t="shared" si="1"/>
        <v>18.625065092822688</v>
      </c>
      <c r="BD46" s="235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319" t="str">
        <f t="shared" si="39"/>
        <v>S1</v>
      </c>
      <c r="BQ46" s="69">
        <f t="shared" si="14"/>
        <v>100</v>
      </c>
      <c r="BR46" s="320">
        <f t="shared" si="15"/>
        <v>46.82047416709864</v>
      </c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319" t="str">
        <f t="shared" si="40"/>
        <v>S1</v>
      </c>
      <c r="CE46" s="69">
        <f t="shared" si="16"/>
        <v>22.457373440099886</v>
      </c>
      <c r="CF46" s="320">
        <f t="shared" si="17"/>
        <v>22.457373440099886</v>
      </c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590">
        <f t="shared" si="18"/>
        <v>0</v>
      </c>
      <c r="CT46" s="253">
        <f t="shared" si="19"/>
        <v>-3.8323083472771984</v>
      </c>
      <c r="CU46" s="253">
        <f t="shared" si="20"/>
        <v>-3.6250650928226875</v>
      </c>
      <c r="CV46" s="591">
        <f t="shared" si="21"/>
        <v>0</v>
      </c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39"/>
      <c r="DU46" s="239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I46" s="596">
        <f t="shared" si="41"/>
        <v>770.7869375471237</v>
      </c>
      <c r="EJ46" s="233">
        <f t="shared" si="22"/>
        <v>0</v>
      </c>
      <c r="EK46" s="233">
        <f t="shared" si="23"/>
        <v>0</v>
      </c>
      <c r="EL46" s="73">
        <f t="shared" si="24"/>
      </c>
      <c r="EP46" s="162">
        <f t="shared" si="25"/>
        <v>1</v>
      </c>
      <c r="EQ46" s="162">
        <f t="shared" si="50"/>
        <v>0</v>
      </c>
      <c r="ER46" s="162">
        <f t="shared" si="50"/>
        <v>0</v>
      </c>
      <c r="ES46" s="162">
        <f t="shared" si="50"/>
        <v>0</v>
      </c>
      <c r="ET46" s="162">
        <f t="shared" si="50"/>
        <v>0</v>
      </c>
      <c r="EU46" s="162">
        <f t="shared" si="50"/>
        <v>0</v>
      </c>
      <c r="EV46" s="162">
        <f t="shared" si="50"/>
        <v>0</v>
      </c>
      <c r="EW46" s="162">
        <f t="shared" si="50"/>
        <v>1</v>
      </c>
      <c r="EX46" s="162">
        <f t="shared" si="50"/>
        <v>0</v>
      </c>
      <c r="EY46" s="162">
        <f t="shared" si="50"/>
        <v>1</v>
      </c>
      <c r="EZ46" s="162">
        <f t="shared" si="50"/>
        <v>0</v>
      </c>
      <c r="FA46" s="162">
        <f t="shared" si="50"/>
        <v>0</v>
      </c>
      <c r="FB46" s="162">
        <f t="shared" si="43"/>
        <v>0</v>
      </c>
      <c r="FC46" s="162">
        <f t="shared" si="27"/>
        <v>0</v>
      </c>
      <c r="FD46" s="162">
        <f t="shared" si="44"/>
        <v>1</v>
      </c>
      <c r="FE46" s="163">
        <f t="shared" si="45"/>
        <v>46.82047416709864</v>
      </c>
      <c r="FF46" s="164"/>
      <c r="FG46" s="164"/>
      <c r="FH46" s="164"/>
      <c r="FI46" s="164"/>
      <c r="FJ46" s="164"/>
      <c r="FK46" s="164"/>
      <c r="FL46" s="165">
        <f t="shared" si="46"/>
        <v>0</v>
      </c>
      <c r="FM46" s="165">
        <f t="shared" si="47"/>
        <v>361.7190109258567</v>
      </c>
      <c r="FN46" s="162">
        <f t="shared" si="48"/>
        <v>1</v>
      </c>
      <c r="FO46" s="164"/>
    </row>
    <row r="47" spans="1:171" ht="12.75">
      <c r="A47" s="239"/>
      <c r="B47" s="166" t="s">
        <v>105</v>
      </c>
      <c r="C47" s="114">
        <v>10</v>
      </c>
      <c r="D47" s="233">
        <f t="shared" si="28"/>
        <v>255</v>
      </c>
      <c r="E47" s="157">
        <v>20.3</v>
      </c>
      <c r="F47" s="157">
        <v>25</v>
      </c>
      <c r="G47" s="114">
        <v>1</v>
      </c>
      <c r="H47" s="114">
        <v>1</v>
      </c>
      <c r="I47" s="665">
        <f t="shared" si="29"/>
      </c>
      <c r="J47" s="464">
        <f t="shared" si="2"/>
        <v>11.823047070328146</v>
      </c>
      <c r="K47" s="195">
        <f t="shared" si="3"/>
        <v>23.684657792563016</v>
      </c>
      <c r="L47" s="194">
        <f t="shared" si="4"/>
        <v>23.684657792563016</v>
      </c>
      <c r="M47" s="71">
        <f t="shared" si="5"/>
        <v>1.3153422074369843</v>
      </c>
      <c r="N47" s="71">
        <f t="shared" si="30"/>
        <v>-73.11436627994453</v>
      </c>
      <c r="O47" s="73">
        <f t="shared" si="31"/>
        <v>48.13581637453562</v>
      </c>
      <c r="P47" s="73">
        <f t="shared" si="32"/>
        <v>1.3153422074369843</v>
      </c>
      <c r="Q47" s="73"/>
      <c r="R47" s="71">
        <f t="shared" si="6"/>
        <v>23.684657792563016</v>
      </c>
      <c r="S47" s="71">
        <f t="shared" si="7"/>
        <v>0</v>
      </c>
      <c r="T47" s="71">
        <f t="shared" si="33"/>
        <v>0</v>
      </c>
      <c r="U47" s="601"/>
      <c r="V47" s="596">
        <f t="shared" si="49"/>
        <v>1</v>
      </c>
      <c r="W47" s="609">
        <f t="shared" si="9"/>
      </c>
      <c r="X47" s="605"/>
      <c r="Y47" s="671"/>
      <c r="Z47" s="25">
        <f t="shared" si="10"/>
        <v>3.4189911677710714</v>
      </c>
      <c r="AA47" s="25">
        <f t="shared" si="34"/>
        <v>88.67285302746109</v>
      </c>
      <c r="AB47" s="25">
        <f t="shared" si="35"/>
        <v>11.823047070328146</v>
      </c>
      <c r="AC47" s="25"/>
      <c r="AD47" s="203"/>
      <c r="AE47" s="203"/>
      <c r="AF47" s="203"/>
      <c r="AG47" s="620"/>
      <c r="AH47" s="69"/>
      <c r="AI47" s="69"/>
      <c r="AJ47" s="319" t="str">
        <f t="shared" si="36"/>
        <v>S2</v>
      </c>
      <c r="AK47" s="69">
        <f t="shared" si="11"/>
        <v>0</v>
      </c>
      <c r="AL47" s="320">
        <f t="shared" si="12"/>
        <v>0</v>
      </c>
      <c r="AM47" s="69"/>
      <c r="AN47" s="244"/>
      <c r="AO47" s="239"/>
      <c r="AP47" s="239"/>
      <c r="AQ47" s="239"/>
      <c r="AR47" s="244"/>
      <c r="AS47" s="244"/>
      <c r="AT47" s="244"/>
      <c r="AU47" s="244"/>
      <c r="AV47" s="244"/>
      <c r="AW47" s="244"/>
      <c r="AX47" s="244"/>
      <c r="AY47" s="244"/>
      <c r="AZ47" s="321" t="str">
        <f t="shared" si="37"/>
        <v>S2</v>
      </c>
      <c r="BA47" s="73">
        <f t="shared" si="38"/>
        <v>25</v>
      </c>
      <c r="BB47" s="322">
        <f t="shared" si="13"/>
        <v>23.684657792563016</v>
      </c>
      <c r="BC47" s="323">
        <f t="shared" si="1"/>
        <v>23.684657792563016</v>
      </c>
      <c r="BD47" s="235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319" t="str">
        <f t="shared" si="39"/>
        <v>S2</v>
      </c>
      <c r="BQ47" s="69">
        <f t="shared" si="14"/>
        <v>100</v>
      </c>
      <c r="BR47" s="320">
        <f t="shared" si="15"/>
        <v>48.13581637453562</v>
      </c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319" t="str">
        <f t="shared" si="40"/>
        <v>S2</v>
      </c>
      <c r="CE47" s="69">
        <f t="shared" si="16"/>
        <v>23.684657792563016</v>
      </c>
      <c r="CF47" s="320">
        <f t="shared" si="17"/>
        <v>23.684657792563016</v>
      </c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590">
        <f t="shared" si="18"/>
        <v>0</v>
      </c>
      <c r="CT47" s="253">
        <f t="shared" si="19"/>
        <v>0</v>
      </c>
      <c r="CU47" s="253">
        <f t="shared" si="20"/>
        <v>0</v>
      </c>
      <c r="CV47" s="591">
        <f t="shared" si="21"/>
        <v>1.3153422074369843</v>
      </c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I47" s="596">
        <f t="shared" si="41"/>
        <v>770.7869375471237</v>
      </c>
      <c r="EJ47" s="233">
        <f t="shared" si="22"/>
        <v>0</v>
      </c>
      <c r="EK47" s="233">
        <f t="shared" si="23"/>
        <v>0</v>
      </c>
      <c r="EL47" s="73">
        <f t="shared" si="24"/>
      </c>
      <c r="EP47" s="162">
        <f t="shared" si="25"/>
        <v>0</v>
      </c>
      <c r="EQ47" s="162">
        <f t="shared" si="50"/>
        <v>1</v>
      </c>
      <c r="ER47" s="162">
        <f t="shared" si="50"/>
        <v>0</v>
      </c>
      <c r="ES47" s="162">
        <f t="shared" si="50"/>
        <v>0</v>
      </c>
      <c r="ET47" s="162">
        <f t="shared" si="50"/>
        <v>0</v>
      </c>
      <c r="EU47" s="162">
        <f t="shared" si="50"/>
        <v>0</v>
      </c>
      <c r="EV47" s="162">
        <f t="shared" si="50"/>
        <v>0</v>
      </c>
      <c r="EW47" s="162">
        <f t="shared" si="50"/>
        <v>0</v>
      </c>
      <c r="EX47" s="162">
        <f t="shared" si="50"/>
        <v>1</v>
      </c>
      <c r="EY47" s="162">
        <f t="shared" si="50"/>
        <v>0</v>
      </c>
      <c r="EZ47" s="162">
        <f t="shared" si="50"/>
        <v>1</v>
      </c>
      <c r="FA47" s="162">
        <f t="shared" si="50"/>
        <v>0</v>
      </c>
      <c r="FB47" s="162">
        <f t="shared" si="43"/>
        <v>0</v>
      </c>
      <c r="FC47" s="162">
        <f t="shared" si="27"/>
        <v>0</v>
      </c>
      <c r="FD47" s="162">
        <f t="shared" si="44"/>
        <v>1</v>
      </c>
      <c r="FE47" s="163">
        <f t="shared" si="45"/>
        <v>48.13581637453562</v>
      </c>
      <c r="FF47" s="164"/>
      <c r="FG47" s="164"/>
      <c r="FH47" s="164"/>
      <c r="FI47" s="164"/>
      <c r="FJ47" s="164"/>
      <c r="FK47" s="164"/>
      <c r="FL47" s="165">
        <f t="shared" si="46"/>
        <v>1.3153422074369843</v>
      </c>
      <c r="FM47" s="165">
        <f t="shared" si="47"/>
        <v>363.0343531332937</v>
      </c>
      <c r="FN47" s="162">
        <f t="shared" si="48"/>
        <v>1</v>
      </c>
      <c r="FO47" s="164"/>
    </row>
    <row r="48" spans="1:171" ht="12.75">
      <c r="A48" s="239"/>
      <c r="B48" s="166" t="s">
        <v>106</v>
      </c>
      <c r="C48" s="114">
        <v>10</v>
      </c>
      <c r="D48" s="233">
        <f t="shared" si="28"/>
        <v>265</v>
      </c>
      <c r="E48" s="157">
        <v>21</v>
      </c>
      <c r="F48" s="157">
        <v>21.6</v>
      </c>
      <c r="G48" s="114">
        <v>1</v>
      </c>
      <c r="H48" s="114">
        <v>1</v>
      </c>
      <c r="I48" s="665">
        <f t="shared" si="29"/>
      </c>
      <c r="J48" s="464">
        <f t="shared" si="2"/>
        <v>12.031296463130698</v>
      </c>
      <c r="K48" s="195">
        <f t="shared" si="3"/>
        <v>26.144837106788234</v>
      </c>
      <c r="L48" s="194">
        <f t="shared" si="4"/>
        <v>26.144837106788234</v>
      </c>
      <c r="M48" s="71">
        <f t="shared" si="5"/>
        <v>-4.544837106788233</v>
      </c>
      <c r="N48" s="71">
        <f t="shared" si="30"/>
        <v>-77.65920338673277</v>
      </c>
      <c r="O48" s="73">
        <f t="shared" si="31"/>
        <v>45.997090851051375</v>
      </c>
      <c r="P48" s="73">
        <f t="shared" si="32"/>
        <v>-2.138725523484247</v>
      </c>
      <c r="Q48" s="73"/>
      <c r="R48" s="71">
        <f t="shared" si="6"/>
        <v>23.73872552348425</v>
      </c>
      <c r="S48" s="71">
        <f t="shared" si="7"/>
        <v>2.4061115833039857</v>
      </c>
      <c r="T48" s="71">
        <f t="shared" si="33"/>
        <v>0</v>
      </c>
      <c r="U48" s="601"/>
      <c r="V48" s="596">
        <f t="shared" si="49"/>
        <v>0.9079699149213952</v>
      </c>
      <c r="W48" s="609">
        <f t="shared" si="9"/>
      </c>
      <c r="X48" s="605"/>
      <c r="Y48" s="671"/>
      <c r="Z48" s="25">
        <f t="shared" si="10"/>
        <v>-0.6054424233262545</v>
      </c>
      <c r="AA48" s="25">
        <f t="shared" si="34"/>
        <v>90.23472347348023</v>
      </c>
      <c r="AB48" s="25">
        <f t="shared" si="35"/>
        <v>12.031296463130698</v>
      </c>
      <c r="AC48" s="25"/>
      <c r="AD48" s="203"/>
      <c r="AE48" s="203"/>
      <c r="AF48" s="203"/>
      <c r="AG48" s="620"/>
      <c r="AH48" s="69"/>
      <c r="AI48" s="69"/>
      <c r="AJ48" s="319" t="str">
        <f t="shared" si="36"/>
        <v>S3</v>
      </c>
      <c r="AK48" s="69">
        <f t="shared" si="11"/>
        <v>-2.4061115833039857</v>
      </c>
      <c r="AL48" s="320">
        <f t="shared" si="12"/>
        <v>0</v>
      </c>
      <c r="AM48" s="69"/>
      <c r="AN48" s="244"/>
      <c r="AO48" s="239"/>
      <c r="AP48" s="239"/>
      <c r="AQ48" s="239"/>
      <c r="AR48" s="244"/>
      <c r="AS48" s="244"/>
      <c r="AT48" s="244"/>
      <c r="AU48" s="244"/>
      <c r="AV48" s="244"/>
      <c r="AW48" s="244"/>
      <c r="AX48" s="244"/>
      <c r="AY48" s="244"/>
      <c r="AZ48" s="321" t="str">
        <f t="shared" si="37"/>
        <v>S3</v>
      </c>
      <c r="BA48" s="73">
        <f t="shared" si="38"/>
        <v>21.6</v>
      </c>
      <c r="BB48" s="322">
        <f t="shared" si="13"/>
        <v>26.144837106788234</v>
      </c>
      <c r="BC48" s="323">
        <f t="shared" si="1"/>
        <v>23.73872552348425</v>
      </c>
      <c r="BD48" s="235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319" t="str">
        <f t="shared" si="39"/>
        <v>S3</v>
      </c>
      <c r="BQ48" s="69">
        <f t="shared" si="14"/>
        <v>100</v>
      </c>
      <c r="BR48" s="320">
        <f t="shared" si="15"/>
        <v>45.997090851051375</v>
      </c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319" t="str">
        <f t="shared" si="40"/>
        <v>S3</v>
      </c>
      <c r="CE48" s="69">
        <f t="shared" si="16"/>
        <v>26.144837106788234</v>
      </c>
      <c r="CF48" s="320">
        <f t="shared" si="17"/>
        <v>26.144837106788234</v>
      </c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590">
        <f t="shared" si="18"/>
        <v>0</v>
      </c>
      <c r="CT48" s="253">
        <f t="shared" si="19"/>
        <v>-2.4061115833039857</v>
      </c>
      <c r="CU48" s="253">
        <f t="shared" si="20"/>
        <v>-2.138725523484247</v>
      </c>
      <c r="CV48" s="591">
        <f t="shared" si="21"/>
        <v>0</v>
      </c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I48" s="596">
        <f t="shared" si="41"/>
        <v>699.8513501071847</v>
      </c>
      <c r="EJ48" s="233">
        <f t="shared" si="22"/>
        <v>0</v>
      </c>
      <c r="EK48" s="233">
        <f t="shared" si="23"/>
        <v>0</v>
      </c>
      <c r="EL48" s="73">
        <f t="shared" si="24"/>
      </c>
      <c r="EP48" s="162">
        <f t="shared" si="25"/>
        <v>1</v>
      </c>
      <c r="EQ48" s="162">
        <f t="shared" si="50"/>
        <v>0</v>
      </c>
      <c r="ER48" s="162">
        <f t="shared" si="50"/>
        <v>1</v>
      </c>
      <c r="ES48" s="162">
        <f t="shared" si="50"/>
        <v>0</v>
      </c>
      <c r="ET48" s="162">
        <f t="shared" si="50"/>
        <v>0</v>
      </c>
      <c r="EU48" s="162">
        <f t="shared" si="50"/>
        <v>0</v>
      </c>
      <c r="EV48" s="162">
        <f t="shared" si="50"/>
        <v>0</v>
      </c>
      <c r="EW48" s="162">
        <f t="shared" si="50"/>
        <v>0</v>
      </c>
      <c r="EX48" s="162">
        <f t="shared" si="50"/>
        <v>0</v>
      </c>
      <c r="EY48" s="162">
        <f t="shared" si="50"/>
        <v>1</v>
      </c>
      <c r="EZ48" s="162">
        <f t="shared" si="50"/>
        <v>0</v>
      </c>
      <c r="FA48" s="162">
        <f t="shared" si="50"/>
        <v>1</v>
      </c>
      <c r="FB48" s="162">
        <f t="shared" si="43"/>
        <v>0</v>
      </c>
      <c r="FC48" s="162">
        <f t="shared" si="27"/>
        <v>0</v>
      </c>
      <c r="FD48" s="162">
        <f t="shared" si="44"/>
        <v>1</v>
      </c>
      <c r="FE48" s="163">
        <f t="shared" si="45"/>
        <v>45.997090851051375</v>
      </c>
      <c r="FF48" s="164"/>
      <c r="FG48" s="164"/>
      <c r="FH48" s="164"/>
      <c r="FI48" s="164"/>
      <c r="FJ48" s="164"/>
      <c r="FK48" s="164"/>
      <c r="FL48" s="165">
        <f t="shared" si="46"/>
        <v>0</v>
      </c>
      <c r="FM48" s="165">
        <f t="shared" si="47"/>
        <v>363.0343531332937</v>
      </c>
      <c r="FN48" s="162">
        <f t="shared" si="48"/>
        <v>1</v>
      </c>
      <c r="FO48" s="164"/>
    </row>
    <row r="49" spans="1:171" ht="12.75">
      <c r="A49" s="239"/>
      <c r="B49" s="166" t="s">
        <v>107</v>
      </c>
      <c r="C49" s="114">
        <v>10</v>
      </c>
      <c r="D49" s="233">
        <f t="shared" si="28"/>
        <v>275</v>
      </c>
      <c r="E49" s="157">
        <v>21.5</v>
      </c>
      <c r="F49" s="157">
        <v>29.9</v>
      </c>
      <c r="G49" s="114">
        <v>1</v>
      </c>
      <c r="H49" s="114">
        <v>1</v>
      </c>
      <c r="I49" s="665">
        <f t="shared" si="29"/>
      </c>
      <c r="J49" s="464">
        <f t="shared" si="2"/>
        <v>12.238947555345673</v>
      </c>
      <c r="K49" s="195">
        <f t="shared" si="3"/>
        <v>28.141262820330745</v>
      </c>
      <c r="L49" s="194">
        <f t="shared" si="4"/>
        <v>28.141262820330745</v>
      </c>
      <c r="M49" s="71">
        <f t="shared" si="5"/>
        <v>1.7587371796692537</v>
      </c>
      <c r="N49" s="71">
        <f t="shared" si="30"/>
        <v>-73.90690735098285</v>
      </c>
      <c r="O49" s="73">
        <f t="shared" si="31"/>
        <v>47.75582803072063</v>
      </c>
      <c r="P49" s="73">
        <f t="shared" si="32"/>
        <v>1.7587371796692537</v>
      </c>
      <c r="Q49" s="73"/>
      <c r="R49" s="71">
        <f t="shared" si="6"/>
        <v>28.141262820330745</v>
      </c>
      <c r="S49" s="71">
        <f t="shared" si="7"/>
        <v>0</v>
      </c>
      <c r="T49" s="71">
        <f t="shared" si="33"/>
        <v>0</v>
      </c>
      <c r="U49" s="601"/>
      <c r="V49" s="596">
        <f t="shared" si="49"/>
        <v>1</v>
      </c>
      <c r="W49" s="609">
        <f t="shared" si="9"/>
      </c>
      <c r="X49" s="605"/>
      <c r="Y49" s="671"/>
      <c r="Z49" s="25">
        <f t="shared" si="10"/>
        <v>-4.611979265659362</v>
      </c>
      <c r="AA49" s="25">
        <f t="shared" si="34"/>
        <v>91.79210666509255</v>
      </c>
      <c r="AB49" s="25">
        <f t="shared" si="35"/>
        <v>12.238947555345673</v>
      </c>
      <c r="AC49" s="25"/>
      <c r="AD49" s="203"/>
      <c r="AE49" s="203"/>
      <c r="AF49" s="203"/>
      <c r="AG49" s="620"/>
      <c r="AH49" s="69"/>
      <c r="AI49" s="69"/>
      <c r="AJ49" s="319" t="str">
        <f t="shared" si="36"/>
        <v>O1</v>
      </c>
      <c r="AK49" s="69">
        <f t="shared" si="11"/>
        <v>0</v>
      </c>
      <c r="AL49" s="320">
        <f t="shared" si="12"/>
        <v>0</v>
      </c>
      <c r="AM49" s="69"/>
      <c r="AN49" s="244"/>
      <c r="AO49" s="239"/>
      <c r="AP49" s="239"/>
      <c r="AQ49" s="239"/>
      <c r="AR49" s="244"/>
      <c r="AS49" s="244"/>
      <c r="AT49" s="244"/>
      <c r="AU49" s="244"/>
      <c r="AV49" s="244"/>
      <c r="AW49" s="244"/>
      <c r="AX49" s="244"/>
      <c r="AY49" s="244"/>
      <c r="AZ49" s="321" t="str">
        <f t="shared" si="37"/>
        <v>O1</v>
      </c>
      <c r="BA49" s="73">
        <f t="shared" si="38"/>
        <v>29.9</v>
      </c>
      <c r="BB49" s="322">
        <f t="shared" si="13"/>
        <v>28.141262820330745</v>
      </c>
      <c r="BC49" s="323">
        <f t="shared" si="1"/>
        <v>28.141262820330745</v>
      </c>
      <c r="BD49" s="235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319" t="str">
        <f t="shared" si="39"/>
        <v>O1</v>
      </c>
      <c r="BQ49" s="69">
        <f t="shared" si="14"/>
        <v>100</v>
      </c>
      <c r="BR49" s="320">
        <f t="shared" si="15"/>
        <v>47.75582803072063</v>
      </c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319" t="str">
        <f t="shared" si="40"/>
        <v>O1</v>
      </c>
      <c r="CE49" s="69">
        <f t="shared" si="16"/>
        <v>28.141262820330745</v>
      </c>
      <c r="CF49" s="320">
        <f t="shared" si="17"/>
        <v>28.141262820330745</v>
      </c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590">
        <f t="shared" si="18"/>
        <v>0</v>
      </c>
      <c r="CT49" s="253">
        <f t="shared" si="19"/>
        <v>0</v>
      </c>
      <c r="CU49" s="253">
        <f t="shared" si="20"/>
        <v>0</v>
      </c>
      <c r="CV49" s="591">
        <f t="shared" si="21"/>
        <v>1.7587371796692537</v>
      </c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I49" s="596">
        <f t="shared" si="41"/>
        <v>699.8513501071847</v>
      </c>
      <c r="EJ49" s="233">
        <f t="shared" si="22"/>
        <v>0</v>
      </c>
      <c r="EK49" s="233">
        <f t="shared" si="23"/>
        <v>0</v>
      </c>
      <c r="EL49" s="73">
        <f t="shared" si="24"/>
      </c>
      <c r="EP49" s="162">
        <f t="shared" si="25"/>
        <v>0</v>
      </c>
      <c r="EQ49" s="162">
        <f t="shared" si="50"/>
        <v>1</v>
      </c>
      <c r="ER49" s="162">
        <f t="shared" si="50"/>
        <v>0</v>
      </c>
      <c r="ES49" s="162">
        <f t="shared" si="50"/>
        <v>1</v>
      </c>
      <c r="ET49" s="162">
        <f t="shared" si="50"/>
        <v>0</v>
      </c>
      <c r="EU49" s="162">
        <f t="shared" si="50"/>
        <v>0</v>
      </c>
      <c r="EV49" s="162">
        <f t="shared" si="50"/>
        <v>0</v>
      </c>
      <c r="EW49" s="162">
        <f t="shared" si="50"/>
        <v>0</v>
      </c>
      <c r="EX49" s="162">
        <f t="shared" si="50"/>
        <v>0</v>
      </c>
      <c r="EY49" s="162">
        <f t="shared" si="50"/>
        <v>0</v>
      </c>
      <c r="EZ49" s="162">
        <f t="shared" si="50"/>
        <v>1</v>
      </c>
      <c r="FA49" s="162">
        <f t="shared" si="50"/>
        <v>0</v>
      </c>
      <c r="FB49" s="162">
        <f t="shared" si="43"/>
        <v>0</v>
      </c>
      <c r="FC49" s="162">
        <f t="shared" si="27"/>
        <v>0</v>
      </c>
      <c r="FD49" s="162">
        <f t="shared" si="44"/>
        <v>1</v>
      </c>
      <c r="FE49" s="163">
        <f t="shared" si="45"/>
        <v>47.75582803072063</v>
      </c>
      <c r="FF49" s="164"/>
      <c r="FG49" s="164"/>
      <c r="FH49" s="164"/>
      <c r="FI49" s="164"/>
      <c r="FJ49" s="164"/>
      <c r="FK49" s="164"/>
      <c r="FL49" s="165">
        <f t="shared" si="46"/>
        <v>1.7587371796692537</v>
      </c>
      <c r="FM49" s="165">
        <f t="shared" si="47"/>
        <v>364.79309031296293</v>
      </c>
      <c r="FN49" s="162">
        <f t="shared" si="48"/>
        <v>1</v>
      </c>
      <c r="FO49" s="164"/>
    </row>
    <row r="50" spans="1:171" ht="12.75">
      <c r="A50" s="239"/>
      <c r="B50" s="166" t="s">
        <v>108</v>
      </c>
      <c r="C50" s="114">
        <v>10</v>
      </c>
      <c r="D50" s="233">
        <f t="shared" si="28"/>
        <v>285</v>
      </c>
      <c r="E50" s="157">
        <v>22</v>
      </c>
      <c r="F50" s="157">
        <v>35.4</v>
      </c>
      <c r="G50" s="114">
        <v>1</v>
      </c>
      <c r="H50" s="114">
        <v>1</v>
      </c>
      <c r="I50" s="665">
        <f t="shared" si="29"/>
      </c>
      <c r="J50" s="464">
        <f t="shared" si="2"/>
        <v>12.441920524522802</v>
      </c>
      <c r="K50" s="195">
        <f t="shared" si="3"/>
        <v>30.230759720283608</v>
      </c>
      <c r="L50" s="194">
        <f t="shared" si="4"/>
        <v>30.230759720283608</v>
      </c>
      <c r="M50" s="71">
        <f t="shared" si="5"/>
        <v>5.169240279716391</v>
      </c>
      <c r="N50" s="71">
        <f t="shared" si="30"/>
        <v>-63.62930782653593</v>
      </c>
      <c r="O50" s="73">
        <f t="shared" si="31"/>
        <v>52.92506831043702</v>
      </c>
      <c r="P50" s="73">
        <f t="shared" si="32"/>
        <v>5.169240279716391</v>
      </c>
      <c r="Q50" s="73"/>
      <c r="R50" s="71">
        <f t="shared" si="6"/>
        <v>30.230759720283608</v>
      </c>
      <c r="S50" s="71">
        <f t="shared" si="7"/>
        <v>0</v>
      </c>
      <c r="T50" s="71">
        <f t="shared" si="33"/>
        <v>0</v>
      </c>
      <c r="U50" s="601"/>
      <c r="V50" s="596">
        <f t="shared" si="49"/>
        <v>1</v>
      </c>
      <c r="W50" s="609">
        <f t="shared" si="9"/>
      </c>
      <c r="X50" s="605"/>
      <c r="Y50" s="671"/>
      <c r="Z50" s="25">
        <f t="shared" si="10"/>
        <v>-8.482186985613046</v>
      </c>
      <c r="AA50" s="25">
        <f t="shared" si="34"/>
        <v>93.31440393392101</v>
      </c>
      <c r="AB50" s="25">
        <f t="shared" si="35"/>
        <v>12.441920524522802</v>
      </c>
      <c r="AC50" s="25"/>
      <c r="AD50" s="203"/>
      <c r="AE50" s="203"/>
      <c r="AF50" s="203"/>
      <c r="AG50" s="620"/>
      <c r="AH50" s="69"/>
      <c r="AI50" s="69"/>
      <c r="AJ50" s="319" t="str">
        <f t="shared" si="36"/>
        <v>O2</v>
      </c>
      <c r="AK50" s="69">
        <f t="shared" si="11"/>
        <v>0</v>
      </c>
      <c r="AL50" s="320">
        <f t="shared" si="12"/>
        <v>0</v>
      </c>
      <c r="AM50" s="69"/>
      <c r="AN50" s="244"/>
      <c r="AO50" s="239"/>
      <c r="AP50" s="239"/>
      <c r="AQ50" s="239"/>
      <c r="AR50" s="244"/>
      <c r="AS50" s="244"/>
      <c r="AT50" s="244"/>
      <c r="AU50" s="244"/>
      <c r="AV50" s="244"/>
      <c r="AW50" s="244"/>
      <c r="AX50" s="244"/>
      <c r="AY50" s="244"/>
      <c r="AZ50" s="321" t="str">
        <f t="shared" si="37"/>
        <v>O2</v>
      </c>
      <c r="BA50" s="73">
        <f t="shared" si="38"/>
        <v>35.4</v>
      </c>
      <c r="BB50" s="322">
        <f t="shared" si="13"/>
        <v>30.230759720283608</v>
      </c>
      <c r="BC50" s="323">
        <f t="shared" si="1"/>
        <v>30.230759720283608</v>
      </c>
      <c r="BD50" s="235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319" t="str">
        <f t="shared" si="39"/>
        <v>O2</v>
      </c>
      <c r="BQ50" s="69">
        <f t="shared" si="14"/>
        <v>100</v>
      </c>
      <c r="BR50" s="320">
        <f t="shared" si="15"/>
        <v>52.92506831043702</v>
      </c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319" t="str">
        <f t="shared" si="40"/>
        <v>O2</v>
      </c>
      <c r="CE50" s="69">
        <f t="shared" si="16"/>
        <v>30.230759720283608</v>
      </c>
      <c r="CF50" s="320">
        <f t="shared" si="17"/>
        <v>30.230759720283608</v>
      </c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590">
        <f t="shared" si="18"/>
        <v>0</v>
      </c>
      <c r="CT50" s="253">
        <f t="shared" si="19"/>
        <v>0</v>
      </c>
      <c r="CU50" s="253">
        <f t="shared" si="20"/>
        <v>0</v>
      </c>
      <c r="CV50" s="591">
        <f t="shared" si="21"/>
        <v>5.169240279716391</v>
      </c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39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I50" s="596">
        <f t="shared" si="41"/>
        <v>699.8513501071847</v>
      </c>
      <c r="EJ50" s="233">
        <f t="shared" si="22"/>
        <v>0</v>
      </c>
      <c r="EK50" s="233">
        <f t="shared" si="23"/>
        <v>0</v>
      </c>
      <c r="EL50" s="73">
        <f t="shared" si="24"/>
      </c>
      <c r="EP50" s="162">
        <f t="shared" si="25"/>
        <v>0</v>
      </c>
      <c r="EQ50" s="162">
        <f t="shared" si="50"/>
        <v>0</v>
      </c>
      <c r="ER50" s="162">
        <f t="shared" si="50"/>
        <v>1</v>
      </c>
      <c r="ES50" s="162">
        <f t="shared" si="50"/>
        <v>0</v>
      </c>
      <c r="ET50" s="162">
        <f t="shared" si="50"/>
        <v>1</v>
      </c>
      <c r="EU50" s="162">
        <f t="shared" si="50"/>
        <v>0</v>
      </c>
      <c r="EV50" s="162">
        <f t="shared" si="50"/>
        <v>0</v>
      </c>
      <c r="EW50" s="162">
        <f t="shared" si="50"/>
        <v>0</v>
      </c>
      <c r="EX50" s="162">
        <f t="shared" si="50"/>
        <v>0</v>
      </c>
      <c r="EY50" s="162">
        <f t="shared" si="50"/>
        <v>0</v>
      </c>
      <c r="EZ50" s="162">
        <f t="shared" si="50"/>
        <v>0</v>
      </c>
      <c r="FA50" s="162">
        <f t="shared" si="50"/>
        <v>1</v>
      </c>
      <c r="FB50" s="162">
        <f t="shared" si="43"/>
        <v>0</v>
      </c>
      <c r="FC50" s="162">
        <f t="shared" si="27"/>
        <v>0</v>
      </c>
      <c r="FD50" s="162">
        <f t="shared" si="44"/>
        <v>1</v>
      </c>
      <c r="FE50" s="163">
        <f t="shared" si="45"/>
        <v>52.92506831043702</v>
      </c>
      <c r="FF50" s="164"/>
      <c r="FG50" s="164"/>
      <c r="FH50" s="164"/>
      <c r="FI50" s="164"/>
      <c r="FJ50" s="164"/>
      <c r="FK50" s="164"/>
      <c r="FL50" s="165">
        <f t="shared" si="46"/>
        <v>6.9279774593856445</v>
      </c>
      <c r="FM50" s="165">
        <f t="shared" si="47"/>
        <v>369.96233059267934</v>
      </c>
      <c r="FN50" s="162">
        <f t="shared" si="48"/>
        <v>1</v>
      </c>
      <c r="FO50" s="164"/>
    </row>
    <row r="51" spans="1:171" ht="12.75">
      <c r="A51" s="239"/>
      <c r="B51" s="166" t="s">
        <v>109</v>
      </c>
      <c r="C51" s="114">
        <v>11</v>
      </c>
      <c r="D51" s="233">
        <f t="shared" si="28"/>
        <v>295</v>
      </c>
      <c r="E51" s="157">
        <v>23</v>
      </c>
      <c r="F51" s="157">
        <v>44.2</v>
      </c>
      <c r="G51" s="114">
        <v>1</v>
      </c>
      <c r="H51" s="114">
        <v>1</v>
      </c>
      <c r="I51" s="665">
        <f t="shared" si="29"/>
      </c>
      <c r="J51" s="464">
        <f t="shared" si="2"/>
        <v>12.635737301410307</v>
      </c>
      <c r="K51" s="195">
        <f t="shared" si="3"/>
        <v>37.57398732154586</v>
      </c>
      <c r="L51" s="194">
        <f t="shared" si="4"/>
        <v>37.57398732154586</v>
      </c>
      <c r="M51" s="71">
        <f t="shared" si="5"/>
        <v>6.6260126784541455</v>
      </c>
      <c r="N51" s="71">
        <f t="shared" si="30"/>
        <v>-51.833573772532304</v>
      </c>
      <c r="O51" s="73">
        <f t="shared" si="31"/>
        <v>59.551080988891165</v>
      </c>
      <c r="P51" s="73">
        <f t="shared" si="32"/>
        <v>6.6260126784541455</v>
      </c>
      <c r="Q51" s="73"/>
      <c r="R51" s="71">
        <f t="shared" si="6"/>
        <v>37.57398732154586</v>
      </c>
      <c r="S51" s="71">
        <f t="shared" si="7"/>
        <v>0</v>
      </c>
      <c r="T51" s="71">
        <f t="shared" si="33"/>
        <v>0</v>
      </c>
      <c r="U51" s="601"/>
      <c r="V51" s="596">
        <f t="shared" si="49"/>
        <v>1</v>
      </c>
      <c r="W51" s="609">
        <f t="shared" si="9"/>
      </c>
      <c r="X51" s="605"/>
      <c r="Y51" s="671"/>
      <c r="Z51" s="25">
        <f t="shared" si="10"/>
        <v>-12.101663069321743</v>
      </c>
      <c r="AA51" s="25">
        <f t="shared" si="34"/>
        <v>94.7680297605773</v>
      </c>
      <c r="AB51" s="25">
        <f t="shared" si="35"/>
        <v>12.635737301410307</v>
      </c>
      <c r="AC51" s="25"/>
      <c r="AD51" s="203"/>
      <c r="AE51" s="203"/>
      <c r="AF51" s="203"/>
      <c r="AG51" s="620"/>
      <c r="AH51" s="69"/>
      <c r="AI51" s="69"/>
      <c r="AJ51" s="319" t="str">
        <f t="shared" si="36"/>
        <v>O3</v>
      </c>
      <c r="AK51" s="69">
        <f t="shared" si="11"/>
        <v>0</v>
      </c>
      <c r="AL51" s="320">
        <f t="shared" si="12"/>
        <v>0</v>
      </c>
      <c r="AM51" s="69"/>
      <c r="AN51" s="244"/>
      <c r="AO51" s="239"/>
      <c r="AP51" s="239"/>
      <c r="AQ51" s="239"/>
      <c r="AR51" s="244"/>
      <c r="AS51" s="244"/>
      <c r="AT51" s="244"/>
      <c r="AU51" s="244"/>
      <c r="AV51" s="244"/>
      <c r="AW51" s="244"/>
      <c r="AX51" s="244"/>
      <c r="AY51" s="244"/>
      <c r="AZ51" s="321" t="str">
        <f t="shared" si="37"/>
        <v>O3</v>
      </c>
      <c r="BA51" s="73">
        <f t="shared" si="38"/>
        <v>44.2</v>
      </c>
      <c r="BB51" s="322">
        <f t="shared" si="13"/>
        <v>37.57398732154586</v>
      </c>
      <c r="BC51" s="323">
        <f t="shared" si="1"/>
        <v>37.57398732154586</v>
      </c>
      <c r="BD51" s="235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319" t="str">
        <f t="shared" si="39"/>
        <v>O3</v>
      </c>
      <c r="BQ51" s="69">
        <f t="shared" si="14"/>
        <v>100</v>
      </c>
      <c r="BR51" s="320">
        <f t="shared" si="15"/>
        <v>59.551080988891165</v>
      </c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319" t="str">
        <f t="shared" si="40"/>
        <v>O3</v>
      </c>
      <c r="CE51" s="69">
        <f t="shared" si="16"/>
        <v>37.57398732154586</v>
      </c>
      <c r="CF51" s="320">
        <f t="shared" si="17"/>
        <v>37.57398732154586</v>
      </c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590">
        <f t="shared" si="18"/>
        <v>0</v>
      </c>
      <c r="CT51" s="253">
        <f t="shared" si="19"/>
        <v>0</v>
      </c>
      <c r="CU51" s="253">
        <f t="shared" si="20"/>
        <v>0</v>
      </c>
      <c r="CV51" s="591">
        <f t="shared" si="21"/>
        <v>6.6260126784541455</v>
      </c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39"/>
      <c r="DU51" s="239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I51" s="596">
        <f t="shared" si="41"/>
        <v>699.8513501071847</v>
      </c>
      <c r="EJ51" s="233">
        <f t="shared" si="22"/>
        <v>0</v>
      </c>
      <c r="EK51" s="233">
        <f t="shared" si="23"/>
        <v>0</v>
      </c>
      <c r="EL51" s="73">
        <f t="shared" si="24"/>
      </c>
      <c r="EP51" s="162">
        <f t="shared" si="25"/>
        <v>0</v>
      </c>
      <c r="EQ51" s="162">
        <f t="shared" si="50"/>
        <v>0</v>
      </c>
      <c r="ER51" s="162">
        <f t="shared" si="50"/>
        <v>0</v>
      </c>
      <c r="ES51" s="162">
        <f t="shared" si="50"/>
        <v>1</v>
      </c>
      <c r="ET51" s="162">
        <f t="shared" si="50"/>
        <v>0</v>
      </c>
      <c r="EU51" s="162">
        <f t="shared" si="50"/>
        <v>1</v>
      </c>
      <c r="EV51" s="162">
        <f t="shared" si="50"/>
        <v>0</v>
      </c>
      <c r="EW51" s="162">
        <f t="shared" si="50"/>
        <v>0</v>
      </c>
      <c r="EX51" s="162">
        <f t="shared" si="50"/>
        <v>0</v>
      </c>
      <c r="EY51" s="162">
        <f t="shared" si="50"/>
        <v>0</v>
      </c>
      <c r="EZ51" s="162">
        <f t="shared" si="50"/>
        <v>0</v>
      </c>
      <c r="FA51" s="162">
        <f t="shared" si="50"/>
        <v>0</v>
      </c>
      <c r="FB51" s="162">
        <f t="shared" si="43"/>
        <v>0</v>
      </c>
      <c r="FC51" s="162">
        <f t="shared" si="27"/>
        <v>0</v>
      </c>
      <c r="FD51" s="162">
        <f t="shared" si="44"/>
        <v>1</v>
      </c>
      <c r="FE51" s="163">
        <f t="shared" si="45"/>
        <v>59.551080988891165</v>
      </c>
      <c r="FF51" s="164"/>
      <c r="FG51" s="164"/>
      <c r="FH51" s="164"/>
      <c r="FI51" s="164"/>
      <c r="FJ51" s="164"/>
      <c r="FK51" s="164"/>
      <c r="FL51" s="165">
        <f t="shared" si="46"/>
        <v>13.55399013783979</v>
      </c>
      <c r="FM51" s="165">
        <f t="shared" si="47"/>
        <v>376.58834327113345</v>
      </c>
      <c r="FN51" s="162">
        <f t="shared" si="48"/>
        <v>1</v>
      </c>
      <c r="FO51" s="164"/>
    </row>
    <row r="52" spans="1:171" ht="12.75">
      <c r="A52" s="239"/>
      <c r="B52" s="166" t="s">
        <v>110</v>
      </c>
      <c r="C52" s="114">
        <v>10</v>
      </c>
      <c r="D52" s="233">
        <f t="shared" si="28"/>
        <v>306</v>
      </c>
      <c r="E52" s="157">
        <v>23</v>
      </c>
      <c r="F52" s="157">
        <v>30</v>
      </c>
      <c r="G52" s="114">
        <v>1</v>
      </c>
      <c r="H52" s="114">
        <v>1</v>
      </c>
      <c r="I52" s="665">
        <f t="shared" si="29"/>
      </c>
      <c r="J52" s="464">
        <f t="shared" si="2"/>
        <v>12.832225178732081</v>
      </c>
      <c r="K52" s="195">
        <f t="shared" si="3"/>
        <v>34.689335685661376</v>
      </c>
      <c r="L52" s="194">
        <f t="shared" si="4"/>
        <v>34.689335685661376</v>
      </c>
      <c r="M52" s="71">
        <f t="shared" si="5"/>
        <v>-4.689335685661376</v>
      </c>
      <c r="N52" s="71">
        <f t="shared" si="30"/>
        <v>-56.52290945819368</v>
      </c>
      <c r="O52" s="73">
        <f t="shared" si="31"/>
        <v>56.822995344119064</v>
      </c>
      <c r="P52" s="73">
        <f t="shared" si="32"/>
        <v>-2.7280856447721007</v>
      </c>
      <c r="Q52" s="73"/>
      <c r="R52" s="71">
        <f t="shared" si="6"/>
        <v>32.7280856447721</v>
      </c>
      <c r="S52" s="71">
        <f t="shared" si="7"/>
        <v>1.9612500408892757</v>
      </c>
      <c r="T52" s="71">
        <f t="shared" si="33"/>
        <v>0</v>
      </c>
      <c r="U52" s="601"/>
      <c r="V52" s="596">
        <f t="shared" si="49"/>
        <v>0.9434624502855514</v>
      </c>
      <c r="W52" s="609">
        <f t="shared" si="9"/>
      </c>
      <c r="X52" s="605"/>
      <c r="Y52" s="671"/>
      <c r="Z52" s="25">
        <f t="shared" si="10"/>
        <v>-15.666097615807347</v>
      </c>
      <c r="AA52" s="25">
        <f t="shared" si="34"/>
        <v>96.24168884049061</v>
      </c>
      <c r="AB52" s="25">
        <f t="shared" si="35"/>
        <v>12.832225178732081</v>
      </c>
      <c r="AC52" s="25"/>
      <c r="AD52" s="203"/>
      <c r="AE52" s="203"/>
      <c r="AF52" s="203"/>
      <c r="AG52" s="620"/>
      <c r="AH52" s="69"/>
      <c r="AI52" s="69"/>
      <c r="AJ52" s="319" t="str">
        <f t="shared" si="36"/>
        <v>N1</v>
      </c>
      <c r="AK52" s="69">
        <f t="shared" si="11"/>
        <v>-1.9612500408892757</v>
      </c>
      <c r="AL52" s="320">
        <f t="shared" si="12"/>
        <v>0</v>
      </c>
      <c r="AM52" s="69"/>
      <c r="AN52" s="244"/>
      <c r="AO52" s="239"/>
      <c r="AP52" s="239"/>
      <c r="AQ52" s="239"/>
      <c r="AR52" s="244"/>
      <c r="AS52" s="244"/>
      <c r="AT52" s="244"/>
      <c r="AU52" s="244"/>
      <c r="AV52" s="244"/>
      <c r="AW52" s="244"/>
      <c r="AX52" s="244"/>
      <c r="AY52" s="244"/>
      <c r="AZ52" s="321" t="str">
        <f t="shared" si="37"/>
        <v>N1</v>
      </c>
      <c r="BA52" s="73">
        <f t="shared" si="38"/>
        <v>30</v>
      </c>
      <c r="BB52" s="322">
        <f t="shared" si="13"/>
        <v>34.689335685661376</v>
      </c>
      <c r="BC52" s="323">
        <f aca="true" t="shared" si="51" ref="BC52:BC83">R52</f>
        <v>32.7280856447721</v>
      </c>
      <c r="BD52" s="235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319" t="str">
        <f t="shared" si="39"/>
        <v>N1</v>
      </c>
      <c r="BQ52" s="69">
        <f t="shared" si="14"/>
        <v>100</v>
      </c>
      <c r="BR52" s="320">
        <f t="shared" si="15"/>
        <v>56.822995344119064</v>
      </c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319" t="str">
        <f t="shared" si="40"/>
        <v>N1</v>
      </c>
      <c r="CE52" s="69">
        <f t="shared" si="16"/>
        <v>34.689335685661376</v>
      </c>
      <c r="CF52" s="320">
        <f t="shared" si="17"/>
        <v>34.689335685661376</v>
      </c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590">
        <f t="shared" si="18"/>
        <v>0</v>
      </c>
      <c r="CT52" s="253">
        <f t="shared" si="19"/>
        <v>-1.9612500408892757</v>
      </c>
      <c r="CU52" s="253">
        <f t="shared" si="20"/>
        <v>-2.7280856447721007</v>
      </c>
      <c r="CV52" s="591">
        <f t="shared" si="21"/>
        <v>0</v>
      </c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I52" s="596">
        <f t="shared" si="41"/>
        <v>660.2834696077757</v>
      </c>
      <c r="EJ52" s="233">
        <f t="shared" si="22"/>
        <v>0</v>
      </c>
      <c r="EK52" s="233">
        <f t="shared" si="23"/>
        <v>0</v>
      </c>
      <c r="EL52" s="73">
        <f t="shared" si="24"/>
      </c>
      <c r="EP52" s="162">
        <f t="shared" si="25"/>
        <v>1</v>
      </c>
      <c r="EQ52" s="162">
        <f t="shared" si="50"/>
        <v>0</v>
      </c>
      <c r="ER52" s="162">
        <f t="shared" si="50"/>
        <v>0</v>
      </c>
      <c r="ES52" s="162">
        <f t="shared" si="50"/>
        <v>0</v>
      </c>
      <c r="ET52" s="162">
        <f t="shared" si="50"/>
        <v>1</v>
      </c>
      <c r="EU52" s="162">
        <f t="shared" si="50"/>
        <v>0</v>
      </c>
      <c r="EV52" s="162">
        <f t="shared" si="50"/>
        <v>1</v>
      </c>
      <c r="EW52" s="162">
        <f t="shared" si="50"/>
        <v>0</v>
      </c>
      <c r="EX52" s="162">
        <f t="shared" si="50"/>
        <v>0</v>
      </c>
      <c r="EY52" s="162">
        <f t="shared" si="50"/>
        <v>0</v>
      </c>
      <c r="EZ52" s="162">
        <f t="shared" si="50"/>
        <v>0</v>
      </c>
      <c r="FA52" s="162">
        <f t="shared" si="50"/>
        <v>0</v>
      </c>
      <c r="FB52" s="162">
        <f t="shared" si="43"/>
        <v>0</v>
      </c>
      <c r="FC52" s="162">
        <f t="shared" si="27"/>
        <v>0</v>
      </c>
      <c r="FD52" s="162">
        <f t="shared" si="44"/>
        <v>1</v>
      </c>
      <c r="FE52" s="163">
        <f t="shared" si="45"/>
        <v>56.822995344119064</v>
      </c>
      <c r="FF52" s="164"/>
      <c r="FG52" s="164"/>
      <c r="FH52" s="164"/>
      <c r="FI52" s="164"/>
      <c r="FJ52" s="164"/>
      <c r="FK52" s="164"/>
      <c r="FL52" s="165">
        <f t="shared" si="46"/>
        <v>0</v>
      </c>
      <c r="FM52" s="165">
        <f t="shared" si="47"/>
        <v>376.58834327113345</v>
      </c>
      <c r="FN52" s="162">
        <f t="shared" si="48"/>
        <v>1</v>
      </c>
      <c r="FO52" s="164"/>
    </row>
    <row r="53" spans="1:171" ht="12.75">
      <c r="A53" s="239"/>
      <c r="B53" s="166" t="s">
        <v>111</v>
      </c>
      <c r="C53" s="114">
        <v>10</v>
      </c>
      <c r="D53" s="233">
        <f t="shared" si="28"/>
        <v>316</v>
      </c>
      <c r="E53" s="157">
        <v>22.5</v>
      </c>
      <c r="F53" s="157">
        <v>42.8</v>
      </c>
      <c r="G53" s="114">
        <v>1</v>
      </c>
      <c r="H53" s="114">
        <v>1</v>
      </c>
      <c r="I53" s="665">
        <f t="shared" si="29"/>
      </c>
      <c r="J53" s="464">
        <f t="shared" si="2"/>
        <v>12.989307586722441</v>
      </c>
      <c r="K53" s="195">
        <f t="shared" si="3"/>
        <v>33.30974048129039</v>
      </c>
      <c r="L53" s="194">
        <f t="shared" si="4"/>
        <v>33.30974048129039</v>
      </c>
      <c r="M53" s="71">
        <f t="shared" si="5"/>
        <v>9.490259518709607</v>
      </c>
      <c r="N53" s="71">
        <f t="shared" si="30"/>
        <v>-41.07803862618481</v>
      </c>
      <c r="O53" s="73">
        <f t="shared" si="31"/>
        <v>66.31325486282867</v>
      </c>
      <c r="P53" s="73">
        <f t="shared" si="32"/>
        <v>9.490259518709607</v>
      </c>
      <c r="Q53" s="73"/>
      <c r="R53" s="71">
        <f t="shared" si="6"/>
        <v>33.30974048129039</v>
      </c>
      <c r="S53" s="71">
        <f t="shared" si="7"/>
        <v>0</v>
      </c>
      <c r="T53" s="71">
        <f t="shared" si="33"/>
        <v>0</v>
      </c>
      <c r="U53" s="601"/>
      <c r="V53" s="596">
        <f t="shared" si="49"/>
        <v>1</v>
      </c>
      <c r="W53" s="609">
        <f t="shared" si="9"/>
      </c>
      <c r="X53" s="605"/>
      <c r="Y53" s="671"/>
      <c r="Z53" s="25">
        <f t="shared" si="10"/>
        <v>-18.42348910159584</v>
      </c>
      <c r="AA53" s="25">
        <f t="shared" si="34"/>
        <v>97.41980690041831</v>
      </c>
      <c r="AB53" s="25">
        <f t="shared" si="35"/>
        <v>12.989307586722441</v>
      </c>
      <c r="AC53" s="25"/>
      <c r="AD53" s="203"/>
      <c r="AE53" s="203"/>
      <c r="AF53" s="203"/>
      <c r="AG53" s="620"/>
      <c r="AH53" s="69"/>
      <c r="AI53" s="69"/>
      <c r="AJ53" s="319" t="str">
        <f t="shared" si="36"/>
        <v>N2</v>
      </c>
      <c r="AK53" s="69">
        <f t="shared" si="11"/>
        <v>0</v>
      </c>
      <c r="AL53" s="320">
        <f t="shared" si="12"/>
        <v>0</v>
      </c>
      <c r="AM53" s="69"/>
      <c r="AN53" s="244"/>
      <c r="AO53" s="239"/>
      <c r="AP53" s="239"/>
      <c r="AQ53" s="239"/>
      <c r="AR53" s="244"/>
      <c r="AS53" s="244"/>
      <c r="AT53" s="244"/>
      <c r="AU53" s="244"/>
      <c r="AV53" s="244"/>
      <c r="AW53" s="244"/>
      <c r="AX53" s="244"/>
      <c r="AY53" s="244"/>
      <c r="AZ53" s="321" t="str">
        <f t="shared" si="37"/>
        <v>N2</v>
      </c>
      <c r="BA53" s="73">
        <f t="shared" si="38"/>
        <v>42.8</v>
      </c>
      <c r="BB53" s="322">
        <f t="shared" si="13"/>
        <v>33.30974048129039</v>
      </c>
      <c r="BC53" s="323">
        <f t="shared" si="51"/>
        <v>33.30974048129039</v>
      </c>
      <c r="BD53" s="235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319" t="str">
        <f t="shared" si="39"/>
        <v>N2</v>
      </c>
      <c r="BQ53" s="69">
        <f t="shared" si="14"/>
        <v>100</v>
      </c>
      <c r="BR53" s="320">
        <f t="shared" si="15"/>
        <v>66.31325486282867</v>
      </c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319" t="str">
        <f t="shared" si="40"/>
        <v>N2</v>
      </c>
      <c r="CE53" s="69">
        <f t="shared" si="16"/>
        <v>33.30974048129039</v>
      </c>
      <c r="CF53" s="320">
        <f t="shared" si="17"/>
        <v>33.30974048129039</v>
      </c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590">
        <f t="shared" si="18"/>
        <v>0</v>
      </c>
      <c r="CT53" s="253">
        <f t="shared" si="19"/>
        <v>0</v>
      </c>
      <c r="CU53" s="253">
        <f t="shared" si="20"/>
        <v>0</v>
      </c>
      <c r="CV53" s="591">
        <f t="shared" si="21"/>
        <v>9.490259518709607</v>
      </c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I53" s="596">
        <f t="shared" si="41"/>
        <v>660.2834696077757</v>
      </c>
      <c r="EJ53" s="233">
        <f t="shared" si="22"/>
        <v>0</v>
      </c>
      <c r="EK53" s="233">
        <f t="shared" si="23"/>
        <v>0</v>
      </c>
      <c r="EL53" s="73">
        <f t="shared" si="24"/>
      </c>
      <c r="EP53" s="162">
        <f t="shared" si="25"/>
        <v>0</v>
      </c>
      <c r="EQ53" s="162">
        <f t="shared" si="50"/>
        <v>1</v>
      </c>
      <c r="ER53" s="162">
        <f t="shared" si="50"/>
        <v>0</v>
      </c>
      <c r="ES53" s="162">
        <f t="shared" si="50"/>
        <v>0</v>
      </c>
      <c r="ET53" s="162">
        <f t="shared" si="50"/>
        <v>0</v>
      </c>
      <c r="EU53" s="162">
        <f t="shared" si="50"/>
        <v>1</v>
      </c>
      <c r="EV53" s="162">
        <f t="shared" si="50"/>
        <v>0</v>
      </c>
      <c r="EW53" s="162">
        <f t="shared" si="50"/>
        <v>1</v>
      </c>
      <c r="EX53" s="162">
        <f t="shared" si="50"/>
        <v>0</v>
      </c>
      <c r="EY53" s="162">
        <f t="shared" si="50"/>
        <v>0</v>
      </c>
      <c r="EZ53" s="162">
        <f t="shared" si="50"/>
        <v>0</v>
      </c>
      <c r="FA53" s="162">
        <f t="shared" si="50"/>
        <v>0</v>
      </c>
      <c r="FB53" s="162">
        <f t="shared" si="43"/>
        <v>0</v>
      </c>
      <c r="FC53" s="162">
        <f t="shared" si="27"/>
        <v>0</v>
      </c>
      <c r="FD53" s="162">
        <f t="shared" si="44"/>
        <v>1</v>
      </c>
      <c r="FE53" s="163">
        <f t="shared" si="45"/>
        <v>66.31325486282867</v>
      </c>
      <c r="FF53" s="164"/>
      <c r="FG53" s="164"/>
      <c r="FH53" s="164"/>
      <c r="FI53" s="164"/>
      <c r="FJ53" s="164"/>
      <c r="FK53" s="164"/>
      <c r="FL53" s="165">
        <f t="shared" si="46"/>
        <v>9.490259518709607</v>
      </c>
      <c r="FM53" s="165">
        <f t="shared" si="47"/>
        <v>386.07860278984305</v>
      </c>
      <c r="FN53" s="162">
        <f t="shared" si="48"/>
        <v>1</v>
      </c>
      <c r="FO53" s="164"/>
    </row>
    <row r="54" spans="1:171" ht="12.75">
      <c r="A54" s="239"/>
      <c r="B54" s="166" t="s">
        <v>112</v>
      </c>
      <c r="C54" s="114">
        <v>10</v>
      </c>
      <c r="D54" s="233">
        <f t="shared" si="28"/>
        <v>326</v>
      </c>
      <c r="E54" s="157">
        <v>23.5</v>
      </c>
      <c r="F54" s="157">
        <v>55.7</v>
      </c>
      <c r="G54" s="114">
        <v>1</v>
      </c>
      <c r="H54" s="114">
        <v>1</v>
      </c>
      <c r="I54" s="665">
        <f t="shared" si="29"/>
      </c>
      <c r="J54" s="464">
        <f aca="true" t="shared" si="52" ref="J54:J85">AB54</f>
        <v>13.119337383741518</v>
      </c>
      <c r="K54" s="195">
        <f aca="true" t="shared" si="53" ref="K54:K85">16*((10*(E54/$K$13))^$K$15)*(J54/12)*(C54/30)</f>
        <v>37.34409806415679</v>
      </c>
      <c r="L54" s="194">
        <f aca="true" t="shared" si="54" ref="L54:L85">K54*G54</f>
        <v>37.34409806415679</v>
      </c>
      <c r="M54" s="71">
        <f aca="true" t="shared" si="55" ref="M54:M85">IF(FN54=1,F54-L54,"")</f>
        <v>18.355901935843214</v>
      </c>
      <c r="N54" s="71">
        <f t="shared" si="30"/>
        <v>-16.64187970622242</v>
      </c>
      <c r="O54" s="73">
        <f t="shared" si="31"/>
        <v>84.66915679867188</v>
      </c>
      <c r="P54" s="73">
        <f t="shared" si="32"/>
        <v>18.355901935843207</v>
      </c>
      <c r="Q54" s="73"/>
      <c r="R54" s="71">
        <f aca="true" t="shared" si="56" ref="R54:R85">IF(FN54=1,IF(AND(M54&gt;=0,P54&gt;=0),L54,F54+ABS(P54)),"")</f>
        <v>37.34409806415679</v>
      </c>
      <c r="S54" s="71">
        <f aca="true" t="shared" si="57" ref="S54:S85">IF(FN54=1,L54-R54,"")</f>
        <v>0</v>
      </c>
      <c r="T54" s="71">
        <f t="shared" si="33"/>
        <v>0</v>
      </c>
      <c r="U54" s="601"/>
      <c r="V54" s="596">
        <f t="shared" si="49"/>
        <v>1</v>
      </c>
      <c r="W54" s="609">
        <f aca="true" t="shared" si="58" ref="W54:W85">IF(EK54&lt;&gt;0,EI54,"")</f>
      </c>
      <c r="X54" s="605"/>
      <c r="Y54" s="671"/>
      <c r="Z54" s="25">
        <f aca="true" t="shared" si="59" ref="Z54:Z85">23.45*SIN(RADIANS((360/365)*(D54-81)))</f>
        <v>-20.6362861831794</v>
      </c>
      <c r="AA54" s="25">
        <f t="shared" si="34"/>
        <v>98.39503037806139</v>
      </c>
      <c r="AB54" s="25">
        <f t="shared" si="35"/>
        <v>13.119337383741518</v>
      </c>
      <c r="AC54" s="25"/>
      <c r="AD54" s="203"/>
      <c r="AE54" s="203"/>
      <c r="AF54" s="203"/>
      <c r="AG54" s="620"/>
      <c r="AH54" s="69"/>
      <c r="AI54" s="69"/>
      <c r="AJ54" s="319" t="str">
        <f t="shared" si="36"/>
        <v>N3</v>
      </c>
      <c r="AK54" s="69">
        <f aca="true" t="shared" si="60" ref="AK54:AK85">IF(T54&lt;&gt;S54,S54*-1,0)</f>
        <v>0</v>
      </c>
      <c r="AL54" s="320">
        <f aca="true" t="shared" si="61" ref="AL54:AL85">IF(T54&lt;&gt;S54,T54,0)</f>
        <v>0</v>
      </c>
      <c r="AM54" s="69"/>
      <c r="AN54" s="244"/>
      <c r="AO54" s="239"/>
      <c r="AP54" s="239"/>
      <c r="AQ54" s="239"/>
      <c r="AR54" s="244"/>
      <c r="AS54" s="244"/>
      <c r="AT54" s="244"/>
      <c r="AU54" s="244"/>
      <c r="AV54" s="244"/>
      <c r="AW54" s="244"/>
      <c r="AX54" s="244"/>
      <c r="AY54" s="244"/>
      <c r="AZ54" s="321" t="str">
        <f t="shared" si="37"/>
        <v>N3</v>
      </c>
      <c r="BA54" s="73">
        <f t="shared" si="38"/>
        <v>55.7</v>
      </c>
      <c r="BB54" s="322">
        <f aca="true" t="shared" si="62" ref="BB54:BB85">L54</f>
        <v>37.34409806415679</v>
      </c>
      <c r="BC54" s="323">
        <f t="shared" si="51"/>
        <v>37.34409806415679</v>
      </c>
      <c r="BD54" s="235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319" t="str">
        <f t="shared" si="39"/>
        <v>N3</v>
      </c>
      <c r="BQ54" s="69">
        <f aca="true" t="shared" si="63" ref="BQ54:BQ85">$C$13</f>
        <v>100</v>
      </c>
      <c r="BR54" s="320">
        <f aca="true" t="shared" si="64" ref="BR54:BR85">O54</f>
        <v>84.66915679867188</v>
      </c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319" t="str">
        <f t="shared" si="40"/>
        <v>N3</v>
      </c>
      <c r="CE54" s="69">
        <f aca="true" t="shared" si="65" ref="CE54:CE85">K54</f>
        <v>37.34409806415679</v>
      </c>
      <c r="CF54" s="320">
        <f aca="true" t="shared" si="66" ref="CF54:CF85">L54</f>
        <v>37.34409806415679</v>
      </c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590">
        <f aca="true" t="shared" si="67" ref="CS54:CS85">T54</f>
        <v>0</v>
      </c>
      <c r="CT54" s="253">
        <f aca="true" t="shared" si="68" ref="CT54:CT85">-S54</f>
        <v>0</v>
      </c>
      <c r="CU54" s="253">
        <f aca="true" t="shared" si="69" ref="CU54:CU85">IF(P54&lt;0,P54,0)</f>
        <v>0</v>
      </c>
      <c r="CV54" s="591">
        <f aca="true" t="shared" si="70" ref="CV54:CV85">IF(P54&gt;0,P54,0)</f>
        <v>18.355901935843207</v>
      </c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I54" s="596">
        <f t="shared" si="41"/>
        <v>660.2834696077757</v>
      </c>
      <c r="EJ54" s="233">
        <f aca="true" t="shared" si="71" ref="EJ54:EJ85">IF(OR(G54&lt;&gt;1,H54&lt;&gt;1),1,0)</f>
        <v>0</v>
      </c>
      <c r="EK54" s="233">
        <f aca="true" t="shared" si="72" ref="EK54:EK85">IF(OR(EK53+EJ54&lt;$EJ$95,EJ54=1),EK53+EJ54,0)</f>
        <v>0</v>
      </c>
      <c r="EL54" s="73">
        <f aca="true" t="shared" si="73" ref="EL54:EL85">IF(AND(W54&lt;&gt;"",W55=""),W54,"")</f>
      </c>
      <c r="EP54" s="162">
        <f aca="true" t="shared" si="74" ref="EP54:EP85">IF(M54&lt;0,1,0)</f>
        <v>0</v>
      </c>
      <c r="EQ54" s="162">
        <f t="shared" si="50"/>
        <v>0</v>
      </c>
      <c r="ER54" s="162">
        <f t="shared" si="50"/>
        <v>1</v>
      </c>
      <c r="ES54" s="162">
        <f t="shared" si="50"/>
        <v>0</v>
      </c>
      <c r="ET54" s="162">
        <f t="shared" si="50"/>
        <v>0</v>
      </c>
      <c r="EU54" s="162">
        <f t="shared" si="50"/>
        <v>0</v>
      </c>
      <c r="EV54" s="162">
        <f t="shared" si="50"/>
        <v>1</v>
      </c>
      <c r="EW54" s="162">
        <f t="shared" si="50"/>
        <v>0</v>
      </c>
      <c r="EX54" s="162">
        <f t="shared" si="50"/>
        <v>1</v>
      </c>
      <c r="EY54" s="162">
        <f t="shared" si="50"/>
        <v>0</v>
      </c>
      <c r="EZ54" s="162">
        <f t="shared" si="50"/>
        <v>0</v>
      </c>
      <c r="FA54" s="162">
        <f t="shared" si="50"/>
        <v>0</v>
      </c>
      <c r="FB54" s="162">
        <f t="shared" si="43"/>
        <v>0</v>
      </c>
      <c r="FC54" s="162">
        <f aca="true" t="shared" si="75" ref="FC54:FC85">IF(AND(FB54=1,FB53=0),M54,0)</f>
        <v>0</v>
      </c>
      <c r="FD54" s="162">
        <f t="shared" si="44"/>
        <v>1</v>
      </c>
      <c r="FE54" s="163">
        <f t="shared" si="45"/>
        <v>84.66915679867188</v>
      </c>
      <c r="FF54" s="164"/>
      <c r="FG54" s="164"/>
      <c r="FH54" s="164"/>
      <c r="FI54" s="164"/>
      <c r="FJ54" s="164"/>
      <c r="FK54" s="164"/>
      <c r="FL54" s="165">
        <f t="shared" si="46"/>
        <v>27.84616145455282</v>
      </c>
      <c r="FM54" s="165">
        <f t="shared" si="47"/>
        <v>404.4345047256863</v>
      </c>
      <c r="FN54" s="162">
        <f t="shared" si="48"/>
        <v>1</v>
      </c>
      <c r="FO54" s="164"/>
    </row>
    <row r="55" spans="1:171" ht="12.75">
      <c r="A55" s="239"/>
      <c r="B55" s="166" t="s">
        <v>113</v>
      </c>
      <c r="C55" s="114">
        <v>10</v>
      </c>
      <c r="D55" s="233">
        <f t="shared" si="28"/>
        <v>336</v>
      </c>
      <c r="E55" s="157">
        <v>23.6</v>
      </c>
      <c r="F55" s="157">
        <v>50.8</v>
      </c>
      <c r="G55" s="114">
        <v>1</v>
      </c>
      <c r="H55" s="114">
        <v>1</v>
      </c>
      <c r="I55" s="665">
        <f t="shared" si="29"/>
      </c>
      <c r="J55" s="464">
        <f t="shared" si="52"/>
        <v>13.216096698954955</v>
      </c>
      <c r="K55" s="195">
        <f t="shared" si="53"/>
        <v>38.0048672022193</v>
      </c>
      <c r="L55" s="194">
        <f t="shared" si="54"/>
        <v>38.0048672022193</v>
      </c>
      <c r="M55" s="71">
        <f t="shared" si="55"/>
        <v>12.795132797780695</v>
      </c>
      <c r="N55" s="71">
        <f aca="true" t="shared" si="76" ref="N55:N86">IF(FN55=1,IF(FD55=0,0,IF(M55&lt;0,N54+M55,IF(M55&gt;0,$EP$11*LN(O55/$EP$11)))),"")</f>
        <v>-2.5684135623271307</v>
      </c>
      <c r="O55" s="73">
        <f aca="true" t="shared" si="77" ref="O55:O86">IF(FN55=1,IF(FE55&gt;$EP$11,$EP$11,FE55),"")</f>
        <v>97.46428959645257</v>
      </c>
      <c r="P55" s="73">
        <f aca="true" t="shared" si="78" ref="P55:P86">IF(FN55=1,O55-O54,"")</f>
        <v>12.795132797780695</v>
      </c>
      <c r="Q55" s="73"/>
      <c r="R55" s="71">
        <f t="shared" si="56"/>
        <v>38.0048672022193</v>
      </c>
      <c r="S55" s="71">
        <f t="shared" si="57"/>
        <v>0</v>
      </c>
      <c r="T55" s="71">
        <f aca="true" t="shared" si="79" ref="T55:T86">IF(FN55=1,IF(O55&lt;$EP$11,0,IF(O55=$EP$11,M55-P55)),"")</f>
        <v>0</v>
      </c>
      <c r="U55" s="601"/>
      <c r="V55" s="596">
        <f t="shared" si="49"/>
        <v>1</v>
      </c>
      <c r="W55" s="609">
        <f t="shared" si="58"/>
      </c>
      <c r="X55" s="605"/>
      <c r="Y55" s="671"/>
      <c r="Z55" s="25">
        <f t="shared" si="59"/>
        <v>-22.239079051285422</v>
      </c>
      <c r="AA55" s="25">
        <f t="shared" si="34"/>
        <v>99.12072524216217</v>
      </c>
      <c r="AB55" s="25">
        <f t="shared" si="35"/>
        <v>13.216096698954955</v>
      </c>
      <c r="AC55" s="25"/>
      <c r="AD55" s="203"/>
      <c r="AE55" s="203"/>
      <c r="AF55" s="203"/>
      <c r="AG55" s="620"/>
      <c r="AH55" s="69"/>
      <c r="AI55" s="69"/>
      <c r="AJ55" s="319" t="str">
        <f t="shared" si="36"/>
        <v>D1</v>
      </c>
      <c r="AK55" s="69">
        <f t="shared" si="60"/>
        <v>0</v>
      </c>
      <c r="AL55" s="320">
        <f t="shared" si="61"/>
        <v>0</v>
      </c>
      <c r="AM55" s="69"/>
      <c r="AN55" s="244"/>
      <c r="AO55" s="239"/>
      <c r="AP55" s="239"/>
      <c r="AQ55" s="239"/>
      <c r="AR55" s="244"/>
      <c r="AS55" s="244"/>
      <c r="AT55" s="244"/>
      <c r="AU55" s="244"/>
      <c r="AV55" s="244"/>
      <c r="AW55" s="244"/>
      <c r="AX55" s="244"/>
      <c r="AY55" s="244"/>
      <c r="AZ55" s="321" t="str">
        <f t="shared" si="37"/>
        <v>D1</v>
      </c>
      <c r="BA55" s="73">
        <f t="shared" si="38"/>
        <v>50.8</v>
      </c>
      <c r="BB55" s="322">
        <f t="shared" si="62"/>
        <v>38.0048672022193</v>
      </c>
      <c r="BC55" s="323">
        <f t="shared" si="51"/>
        <v>38.0048672022193</v>
      </c>
      <c r="BD55" s="235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319" t="str">
        <f t="shared" si="39"/>
        <v>D1</v>
      </c>
      <c r="BQ55" s="69">
        <f t="shared" si="63"/>
        <v>100</v>
      </c>
      <c r="BR55" s="320">
        <f t="shared" si="64"/>
        <v>97.46428959645257</v>
      </c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319" t="str">
        <f t="shared" si="40"/>
        <v>D1</v>
      </c>
      <c r="CE55" s="69">
        <f t="shared" si="65"/>
        <v>38.0048672022193</v>
      </c>
      <c r="CF55" s="320">
        <f t="shared" si="66"/>
        <v>38.0048672022193</v>
      </c>
      <c r="CG55" s="239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590">
        <f t="shared" si="67"/>
        <v>0</v>
      </c>
      <c r="CT55" s="253">
        <f t="shared" si="68"/>
        <v>0</v>
      </c>
      <c r="CU55" s="253">
        <f t="shared" si="69"/>
        <v>0</v>
      </c>
      <c r="CV55" s="591">
        <f t="shared" si="70"/>
        <v>12.795132797780695</v>
      </c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I55" s="596">
        <f aca="true" t="shared" si="80" ref="EI55:EI86">(1-(H55*(1-V55)))*EI54</f>
        <v>660.2834696077757</v>
      </c>
      <c r="EJ55" s="233">
        <f t="shared" si="71"/>
        <v>0</v>
      </c>
      <c r="EK55" s="233">
        <f t="shared" si="72"/>
        <v>0</v>
      </c>
      <c r="EL55" s="73">
        <f t="shared" si="73"/>
      </c>
      <c r="EP55" s="162">
        <f t="shared" si="74"/>
        <v>0</v>
      </c>
      <c r="EQ55" s="162">
        <f aca="true" t="shared" si="81" ref="EQ55:FA70">IF(AND(EP54=1,EP55=0),1,0)</f>
        <v>0</v>
      </c>
      <c r="ER55" s="162">
        <f t="shared" si="81"/>
        <v>0</v>
      </c>
      <c r="ES55" s="162">
        <f t="shared" si="81"/>
        <v>1</v>
      </c>
      <c r="ET55" s="162">
        <f t="shared" si="81"/>
        <v>0</v>
      </c>
      <c r="EU55" s="162">
        <f t="shared" si="81"/>
        <v>0</v>
      </c>
      <c r="EV55" s="162">
        <f t="shared" si="81"/>
        <v>0</v>
      </c>
      <c r="EW55" s="162">
        <f t="shared" si="81"/>
        <v>1</v>
      </c>
      <c r="EX55" s="162">
        <f t="shared" si="81"/>
        <v>0</v>
      </c>
      <c r="EY55" s="162">
        <f t="shared" si="81"/>
        <v>1</v>
      </c>
      <c r="EZ55" s="162">
        <f t="shared" si="81"/>
        <v>0</v>
      </c>
      <c r="FA55" s="162">
        <f t="shared" si="81"/>
        <v>0</v>
      </c>
      <c r="FB55" s="162">
        <f t="shared" si="43"/>
        <v>0</v>
      </c>
      <c r="FC55" s="162">
        <f t="shared" si="75"/>
        <v>0</v>
      </c>
      <c r="FD55" s="162">
        <f t="shared" si="44"/>
        <v>1</v>
      </c>
      <c r="FE55" s="163">
        <f aca="true" t="shared" si="82" ref="FE55:FE86">IF(FN55=1,IF(FD55=0,IF($FM$96=1,$FC$95,$EP$11),IF(M55&lt;0,$EP$11*EXP(N55/$EP$11),IF(M55&gt;0,FE54+ABS(M55)))),"")</f>
        <v>97.46428959645257</v>
      </c>
      <c r="FF55" s="164"/>
      <c r="FG55" s="164"/>
      <c r="FH55" s="164"/>
      <c r="FI55" s="164"/>
      <c r="FJ55" s="164"/>
      <c r="FK55" s="164"/>
      <c r="FL55" s="165">
        <f aca="true" t="shared" si="83" ref="FL55:FL86">IF(FN55=1,IF(M55&lt;0,0,M55+FL54),"")</f>
        <v>40.641294252333516</v>
      </c>
      <c r="FM55" s="165">
        <f aca="true" t="shared" si="84" ref="FM55:FM86">IF(FN55=1,IF(M55&lt;0,FM54,FM54+M55),"")</f>
        <v>417.229637523467</v>
      </c>
      <c r="FN55" s="162">
        <f aca="true" t="shared" si="85" ref="FN55:FN86">IF(OR(B55="fim",FN54=0),0,1)</f>
        <v>1</v>
      </c>
      <c r="FO55" s="164"/>
    </row>
    <row r="56" spans="1:171" ht="12.75">
      <c r="A56" s="239"/>
      <c r="B56" s="166" t="s">
        <v>114</v>
      </c>
      <c r="C56" s="114">
        <v>10</v>
      </c>
      <c r="D56" s="233">
        <f t="shared" si="28"/>
        <v>346</v>
      </c>
      <c r="E56" s="157">
        <v>23.8</v>
      </c>
      <c r="F56" s="157">
        <v>58</v>
      </c>
      <c r="G56" s="114">
        <v>1</v>
      </c>
      <c r="H56" s="114">
        <v>1</v>
      </c>
      <c r="I56" s="665">
        <f t="shared" si="29"/>
      </c>
      <c r="J56" s="464">
        <f t="shared" si="52"/>
        <v>13.274299311484773</v>
      </c>
      <c r="K56" s="195">
        <f t="shared" si="53"/>
        <v>38.95323289994015</v>
      </c>
      <c r="L56" s="194">
        <f t="shared" si="54"/>
        <v>38.95323289994015</v>
      </c>
      <c r="M56" s="71">
        <f t="shared" si="55"/>
        <v>19.046767100059853</v>
      </c>
      <c r="N56" s="71">
        <f t="shared" si="76"/>
        <v>0</v>
      </c>
      <c r="O56" s="73">
        <f t="shared" si="77"/>
        <v>100</v>
      </c>
      <c r="P56" s="73">
        <f t="shared" si="78"/>
        <v>2.5357104035474265</v>
      </c>
      <c r="Q56" s="73"/>
      <c r="R56" s="71">
        <f t="shared" si="56"/>
        <v>38.95323289994015</v>
      </c>
      <c r="S56" s="71">
        <f t="shared" si="57"/>
        <v>0</v>
      </c>
      <c r="T56" s="71">
        <f t="shared" si="79"/>
        <v>16.511056696512426</v>
      </c>
      <c r="U56" s="601"/>
      <c r="V56" s="596">
        <f t="shared" si="49"/>
        <v>1</v>
      </c>
      <c r="W56" s="609">
        <f t="shared" si="58"/>
      </c>
      <c r="X56" s="605"/>
      <c r="Y56" s="671"/>
      <c r="Z56" s="25">
        <f t="shared" si="59"/>
        <v>-23.18448949094838</v>
      </c>
      <c r="AA56" s="25">
        <f t="shared" si="34"/>
        <v>99.5572448361358</v>
      </c>
      <c r="AB56" s="25">
        <f t="shared" si="35"/>
        <v>13.274299311484773</v>
      </c>
      <c r="AC56" s="25"/>
      <c r="AD56" s="203"/>
      <c r="AE56" s="203"/>
      <c r="AF56" s="203"/>
      <c r="AG56" s="620"/>
      <c r="AH56" s="69"/>
      <c r="AI56" s="69"/>
      <c r="AJ56" s="319" t="str">
        <f t="shared" si="36"/>
        <v>D2</v>
      </c>
      <c r="AK56" s="69">
        <f t="shared" si="60"/>
        <v>0</v>
      </c>
      <c r="AL56" s="320">
        <f t="shared" si="61"/>
        <v>16.511056696512426</v>
      </c>
      <c r="AM56" s="69"/>
      <c r="AN56" s="244"/>
      <c r="AO56" s="239"/>
      <c r="AP56" s="239"/>
      <c r="AQ56" s="239"/>
      <c r="AR56" s="244"/>
      <c r="AS56" s="244"/>
      <c r="AT56" s="244"/>
      <c r="AU56" s="244"/>
      <c r="AV56" s="244"/>
      <c r="AW56" s="244"/>
      <c r="AX56" s="244"/>
      <c r="AY56" s="244"/>
      <c r="AZ56" s="321" t="str">
        <f t="shared" si="37"/>
        <v>D2</v>
      </c>
      <c r="BA56" s="73">
        <f t="shared" si="38"/>
        <v>58</v>
      </c>
      <c r="BB56" s="322">
        <f t="shared" si="62"/>
        <v>38.95323289994015</v>
      </c>
      <c r="BC56" s="323">
        <f t="shared" si="51"/>
        <v>38.95323289994015</v>
      </c>
      <c r="BD56" s="235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319" t="str">
        <f t="shared" si="39"/>
        <v>D2</v>
      </c>
      <c r="BQ56" s="69">
        <f t="shared" si="63"/>
        <v>100</v>
      </c>
      <c r="BR56" s="320">
        <f t="shared" si="64"/>
        <v>100</v>
      </c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319" t="str">
        <f t="shared" si="40"/>
        <v>D2</v>
      </c>
      <c r="CE56" s="69">
        <f t="shared" si="65"/>
        <v>38.95323289994015</v>
      </c>
      <c r="CF56" s="320">
        <f t="shared" si="66"/>
        <v>38.95323289994015</v>
      </c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590">
        <f t="shared" si="67"/>
        <v>16.511056696512426</v>
      </c>
      <c r="CT56" s="253">
        <f t="shared" si="68"/>
        <v>0</v>
      </c>
      <c r="CU56" s="253">
        <f t="shared" si="69"/>
        <v>0</v>
      </c>
      <c r="CV56" s="591">
        <f t="shared" si="70"/>
        <v>2.5357104035474265</v>
      </c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I56" s="596">
        <f t="shared" si="80"/>
        <v>660.2834696077757</v>
      </c>
      <c r="EJ56" s="233">
        <f t="shared" si="71"/>
        <v>0</v>
      </c>
      <c r="EK56" s="233">
        <f t="shared" si="72"/>
        <v>0</v>
      </c>
      <c r="EL56" s="73">
        <f t="shared" si="73"/>
      </c>
      <c r="EP56" s="162">
        <f t="shared" si="74"/>
        <v>0</v>
      </c>
      <c r="EQ56" s="162">
        <f t="shared" si="81"/>
        <v>0</v>
      </c>
      <c r="ER56" s="162">
        <f t="shared" si="81"/>
        <v>0</v>
      </c>
      <c r="ES56" s="162">
        <f t="shared" si="81"/>
        <v>0</v>
      </c>
      <c r="ET56" s="162">
        <f t="shared" si="81"/>
        <v>1</v>
      </c>
      <c r="EU56" s="162">
        <f t="shared" si="81"/>
        <v>0</v>
      </c>
      <c r="EV56" s="162">
        <f t="shared" si="81"/>
        <v>0</v>
      </c>
      <c r="EW56" s="162">
        <f t="shared" si="81"/>
        <v>0</v>
      </c>
      <c r="EX56" s="162">
        <f t="shared" si="81"/>
        <v>1</v>
      </c>
      <c r="EY56" s="162">
        <f t="shared" si="81"/>
        <v>0</v>
      </c>
      <c r="EZ56" s="162">
        <f t="shared" si="81"/>
        <v>1</v>
      </c>
      <c r="FA56" s="162">
        <f t="shared" si="81"/>
        <v>0</v>
      </c>
      <c r="FB56" s="162">
        <f t="shared" si="43"/>
        <v>0</v>
      </c>
      <c r="FC56" s="162">
        <f t="shared" si="75"/>
        <v>0</v>
      </c>
      <c r="FD56" s="162">
        <f t="shared" si="44"/>
        <v>1</v>
      </c>
      <c r="FE56" s="163">
        <f t="shared" si="82"/>
        <v>116.51105669651243</v>
      </c>
      <c r="FF56" s="164"/>
      <c r="FG56" s="164"/>
      <c r="FH56" s="164"/>
      <c r="FI56" s="164"/>
      <c r="FJ56" s="164"/>
      <c r="FK56" s="164"/>
      <c r="FL56" s="165">
        <f t="shared" si="83"/>
        <v>59.68806135239337</v>
      </c>
      <c r="FM56" s="165">
        <f t="shared" si="84"/>
        <v>436.27640462352684</v>
      </c>
      <c r="FN56" s="162">
        <f t="shared" si="85"/>
        <v>1</v>
      </c>
      <c r="FO56" s="164"/>
    </row>
    <row r="57" spans="1:171" ht="12.75">
      <c r="A57" s="239"/>
      <c r="B57" s="166" t="s">
        <v>115</v>
      </c>
      <c r="C57" s="114">
        <v>11</v>
      </c>
      <c r="D57" s="233">
        <f t="shared" si="28"/>
        <v>356</v>
      </c>
      <c r="E57" s="157">
        <v>24</v>
      </c>
      <c r="F57" s="157">
        <v>90.5</v>
      </c>
      <c r="G57" s="114">
        <v>1</v>
      </c>
      <c r="H57" s="114">
        <v>1</v>
      </c>
      <c r="I57" s="665">
        <f t="shared" si="29"/>
      </c>
      <c r="J57" s="464">
        <f t="shared" si="52"/>
        <v>13.290467129900657</v>
      </c>
      <c r="K57" s="195">
        <f t="shared" si="53"/>
        <v>43.771065194289925</v>
      </c>
      <c r="L57" s="194">
        <f t="shared" si="54"/>
        <v>43.771065194289925</v>
      </c>
      <c r="M57" s="71">
        <f t="shared" si="55"/>
        <v>46.728934805710075</v>
      </c>
      <c r="N57" s="71">
        <f t="shared" si="76"/>
        <v>0</v>
      </c>
      <c r="O57" s="73">
        <f t="shared" si="77"/>
        <v>100</v>
      </c>
      <c r="P57" s="73">
        <f t="shared" si="78"/>
        <v>0</v>
      </c>
      <c r="Q57" s="73"/>
      <c r="R57" s="71">
        <f t="shared" si="56"/>
        <v>43.771065194289925</v>
      </c>
      <c r="S57" s="71">
        <f t="shared" si="57"/>
        <v>0</v>
      </c>
      <c r="T57" s="71">
        <f t="shared" si="79"/>
        <v>46.728934805710075</v>
      </c>
      <c r="U57" s="601"/>
      <c r="V57" s="596">
        <f t="shared" si="49"/>
        <v>1</v>
      </c>
      <c r="W57" s="609">
        <f t="shared" si="58"/>
      </c>
      <c r="X57" s="605"/>
      <c r="Y57" s="671"/>
      <c r="Z57" s="25">
        <f t="shared" si="59"/>
        <v>-23.44457137142844</v>
      </c>
      <c r="AA57" s="25">
        <f t="shared" si="34"/>
        <v>99.67850347425492</v>
      </c>
      <c r="AB57" s="25">
        <f t="shared" si="35"/>
        <v>13.290467129900657</v>
      </c>
      <c r="AC57" s="25"/>
      <c r="AD57" s="203"/>
      <c r="AE57" s="203"/>
      <c r="AF57" s="203"/>
      <c r="AG57" s="620"/>
      <c r="AH57" s="69"/>
      <c r="AI57" s="69"/>
      <c r="AJ57" s="319" t="str">
        <f t="shared" si="36"/>
        <v>D3</v>
      </c>
      <c r="AK57" s="69">
        <f t="shared" si="60"/>
        <v>0</v>
      </c>
      <c r="AL57" s="320">
        <f t="shared" si="61"/>
        <v>46.728934805710075</v>
      </c>
      <c r="AM57" s="69"/>
      <c r="AN57" s="244"/>
      <c r="AO57" s="239"/>
      <c r="AP57" s="239"/>
      <c r="AQ57" s="239"/>
      <c r="AR57" s="244"/>
      <c r="AS57" s="244"/>
      <c r="AT57" s="244"/>
      <c r="AU57" s="244"/>
      <c r="AV57" s="244"/>
      <c r="AW57" s="244"/>
      <c r="AX57" s="244"/>
      <c r="AY57" s="244"/>
      <c r="AZ57" s="321" t="str">
        <f t="shared" si="37"/>
        <v>D3</v>
      </c>
      <c r="BA57" s="73">
        <f t="shared" si="38"/>
        <v>90.5</v>
      </c>
      <c r="BB57" s="322">
        <f t="shared" si="62"/>
        <v>43.771065194289925</v>
      </c>
      <c r="BC57" s="323">
        <f t="shared" si="51"/>
        <v>43.771065194289925</v>
      </c>
      <c r="BD57" s="235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319" t="str">
        <f t="shared" si="39"/>
        <v>D3</v>
      </c>
      <c r="BQ57" s="69">
        <f t="shared" si="63"/>
        <v>100</v>
      </c>
      <c r="BR57" s="320">
        <f t="shared" si="64"/>
        <v>100</v>
      </c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319" t="str">
        <f t="shared" si="40"/>
        <v>D3</v>
      </c>
      <c r="CE57" s="69">
        <f t="shared" si="65"/>
        <v>43.771065194289925</v>
      </c>
      <c r="CF57" s="320">
        <f t="shared" si="66"/>
        <v>43.771065194289925</v>
      </c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39"/>
      <c r="CS57" s="590">
        <f t="shared" si="67"/>
        <v>46.728934805710075</v>
      </c>
      <c r="CT57" s="253">
        <f t="shared" si="68"/>
        <v>0</v>
      </c>
      <c r="CU57" s="253">
        <f t="shared" si="69"/>
        <v>0</v>
      </c>
      <c r="CV57" s="591">
        <f t="shared" si="70"/>
        <v>0</v>
      </c>
      <c r="CW57" s="239"/>
      <c r="CX57" s="239"/>
      <c r="CY57" s="239"/>
      <c r="CZ57" s="239"/>
      <c r="DA57" s="239"/>
      <c r="DB57" s="239"/>
      <c r="DC57" s="239"/>
      <c r="DD57" s="239"/>
      <c r="DE57" s="239"/>
      <c r="DF57" s="239"/>
      <c r="DG57" s="239"/>
      <c r="DH57" s="239"/>
      <c r="DI57" s="239"/>
      <c r="DJ57" s="239"/>
      <c r="DK57" s="239"/>
      <c r="DL57" s="239"/>
      <c r="DM57" s="239"/>
      <c r="DN57" s="239"/>
      <c r="DO57" s="239"/>
      <c r="DP57" s="239"/>
      <c r="DQ57" s="239"/>
      <c r="DR57" s="239"/>
      <c r="DS57" s="239"/>
      <c r="DT57" s="239"/>
      <c r="DU57" s="239"/>
      <c r="DV57" s="239"/>
      <c r="DW57" s="239"/>
      <c r="DX57" s="239"/>
      <c r="DY57" s="239"/>
      <c r="DZ57" s="239"/>
      <c r="EA57" s="239"/>
      <c r="EB57" s="239"/>
      <c r="EC57" s="239"/>
      <c r="ED57" s="239"/>
      <c r="EE57" s="239"/>
      <c r="EF57" s="239"/>
      <c r="EI57" s="596">
        <f t="shared" si="80"/>
        <v>660.2834696077757</v>
      </c>
      <c r="EJ57" s="233">
        <f t="shared" si="71"/>
        <v>0</v>
      </c>
      <c r="EK57" s="233">
        <f t="shared" si="72"/>
        <v>0</v>
      </c>
      <c r="EL57" s="73">
        <f t="shared" si="73"/>
      </c>
      <c r="EP57" s="162">
        <f t="shared" si="74"/>
        <v>0</v>
      </c>
      <c r="EQ57" s="162">
        <f t="shared" si="81"/>
        <v>0</v>
      </c>
      <c r="ER57" s="162">
        <f t="shared" si="81"/>
        <v>0</v>
      </c>
      <c r="ES57" s="162">
        <f t="shared" si="81"/>
        <v>0</v>
      </c>
      <c r="ET57" s="162">
        <f t="shared" si="81"/>
        <v>0</v>
      </c>
      <c r="EU57" s="162">
        <f t="shared" si="81"/>
        <v>1</v>
      </c>
      <c r="EV57" s="162">
        <f t="shared" si="81"/>
        <v>0</v>
      </c>
      <c r="EW57" s="162">
        <f t="shared" si="81"/>
        <v>0</v>
      </c>
      <c r="EX57" s="162">
        <f t="shared" si="81"/>
        <v>0</v>
      </c>
      <c r="EY57" s="162">
        <f t="shared" si="81"/>
        <v>1</v>
      </c>
      <c r="EZ57" s="162">
        <f t="shared" si="81"/>
        <v>0</v>
      </c>
      <c r="FA57" s="162">
        <f t="shared" si="81"/>
        <v>1</v>
      </c>
      <c r="FB57" s="162">
        <f t="shared" si="43"/>
        <v>0</v>
      </c>
      <c r="FC57" s="162">
        <f t="shared" si="75"/>
        <v>0</v>
      </c>
      <c r="FD57" s="162">
        <f t="shared" si="44"/>
        <v>1</v>
      </c>
      <c r="FE57" s="163">
        <f t="shared" si="82"/>
        <v>163.2399915022225</v>
      </c>
      <c r="FF57" s="164"/>
      <c r="FG57" s="164"/>
      <c r="FH57" s="164"/>
      <c r="FI57" s="164"/>
      <c r="FJ57" s="164"/>
      <c r="FK57" s="164"/>
      <c r="FL57" s="165">
        <f t="shared" si="83"/>
        <v>106.41699615810344</v>
      </c>
      <c r="FM57" s="165">
        <f t="shared" si="84"/>
        <v>483.0053394292369</v>
      </c>
      <c r="FN57" s="162">
        <f t="shared" si="85"/>
        <v>1</v>
      </c>
      <c r="FO57" s="164"/>
    </row>
    <row r="58" spans="1:171" ht="12.75">
      <c r="A58" s="239"/>
      <c r="B58" s="166" t="s">
        <v>18</v>
      </c>
      <c r="C58" s="114">
        <v>1</v>
      </c>
      <c r="D58" s="233">
        <f t="shared" si="28"/>
        <v>2</v>
      </c>
      <c r="E58" s="157">
        <v>1</v>
      </c>
      <c r="F58" s="157">
        <v>1</v>
      </c>
      <c r="G58" s="114">
        <v>1</v>
      </c>
      <c r="H58" s="114">
        <v>1</v>
      </c>
      <c r="I58" s="665">
        <f t="shared" si="29"/>
      </c>
      <c r="J58" s="464">
        <f t="shared" si="52"/>
        <v>13.258579005677994</v>
      </c>
      <c r="K58" s="195">
        <f t="shared" si="53"/>
        <v>0.0019330548866850906</v>
      </c>
      <c r="L58" s="194">
        <f t="shared" si="54"/>
        <v>0.0019330548866850906</v>
      </c>
      <c r="M58" s="71">
        <f t="shared" si="55"/>
        <v>0.998066945113315</v>
      </c>
      <c r="N58" s="71">
        <f t="shared" si="76"/>
        <v>0</v>
      </c>
      <c r="O58" s="73">
        <f t="shared" si="77"/>
        <v>100</v>
      </c>
      <c r="P58" s="73">
        <f t="shared" si="78"/>
        <v>0</v>
      </c>
      <c r="Q58" s="73"/>
      <c r="R58" s="71">
        <f t="shared" si="56"/>
        <v>0.0019330548866850906</v>
      </c>
      <c r="S58" s="71">
        <f t="shared" si="57"/>
        <v>0</v>
      </c>
      <c r="T58" s="71">
        <f t="shared" si="79"/>
        <v>0.998066945113315</v>
      </c>
      <c r="U58" s="601"/>
      <c r="V58" s="596">
        <f t="shared" si="49"/>
        <v>1</v>
      </c>
      <c r="W58" s="609">
        <f t="shared" si="58"/>
      </c>
      <c r="X58" s="605"/>
      <c r="Y58" s="671"/>
      <c r="Z58" s="25">
        <f t="shared" si="59"/>
        <v>-22.93054360830765</v>
      </c>
      <c r="AA58" s="25">
        <f t="shared" si="34"/>
        <v>99.43934254258495</v>
      </c>
      <c r="AB58" s="25">
        <f t="shared" si="35"/>
        <v>13.258579005677994</v>
      </c>
      <c r="AC58" s="25"/>
      <c r="AD58" s="203"/>
      <c r="AE58" s="203"/>
      <c r="AF58" s="203"/>
      <c r="AG58" s="620"/>
      <c r="AH58" s="69"/>
      <c r="AI58" s="69"/>
      <c r="AJ58" s="319" t="str">
        <f t="shared" si="36"/>
        <v> </v>
      </c>
      <c r="AK58" s="69">
        <f t="shared" si="60"/>
        <v>0</v>
      </c>
      <c r="AL58" s="320">
        <f t="shared" si="61"/>
        <v>0.998066945113315</v>
      </c>
      <c r="AM58" s="69"/>
      <c r="AN58" s="244"/>
      <c r="AO58" s="239"/>
      <c r="AP58" s="239"/>
      <c r="AQ58" s="239"/>
      <c r="AR58" s="244"/>
      <c r="AS58" s="244"/>
      <c r="AT58" s="244"/>
      <c r="AU58" s="244"/>
      <c r="AV58" s="244"/>
      <c r="AW58" s="244"/>
      <c r="AX58" s="244"/>
      <c r="AY58" s="244"/>
      <c r="AZ58" s="321" t="str">
        <f t="shared" si="37"/>
        <v> </v>
      </c>
      <c r="BA58" s="73">
        <f t="shared" si="38"/>
        <v>1</v>
      </c>
      <c r="BB58" s="322">
        <f t="shared" si="62"/>
        <v>0.0019330548866850906</v>
      </c>
      <c r="BC58" s="323">
        <f t="shared" si="51"/>
        <v>0.0019330548866850906</v>
      </c>
      <c r="BD58" s="235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319" t="str">
        <f t="shared" si="39"/>
        <v> </v>
      </c>
      <c r="BQ58" s="69">
        <f t="shared" si="63"/>
        <v>100</v>
      </c>
      <c r="BR58" s="320">
        <f t="shared" si="64"/>
        <v>100</v>
      </c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319" t="str">
        <f t="shared" si="40"/>
        <v> </v>
      </c>
      <c r="CE58" s="69">
        <f t="shared" si="65"/>
        <v>0.0019330548866850906</v>
      </c>
      <c r="CF58" s="320">
        <f t="shared" si="66"/>
        <v>0.0019330548866850906</v>
      </c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590">
        <f t="shared" si="67"/>
        <v>0.998066945113315</v>
      </c>
      <c r="CT58" s="253">
        <f t="shared" si="68"/>
        <v>0</v>
      </c>
      <c r="CU58" s="253">
        <f t="shared" si="69"/>
        <v>0</v>
      </c>
      <c r="CV58" s="591">
        <f t="shared" si="70"/>
        <v>0</v>
      </c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I58" s="596">
        <f t="shared" si="80"/>
        <v>660.2834696077757</v>
      </c>
      <c r="EJ58" s="233">
        <f t="shared" si="71"/>
        <v>0</v>
      </c>
      <c r="EK58" s="233">
        <f t="shared" si="72"/>
        <v>0</v>
      </c>
      <c r="EL58" s="73">
        <f t="shared" si="73"/>
      </c>
      <c r="EP58" s="162">
        <f t="shared" si="74"/>
        <v>0</v>
      </c>
      <c r="EQ58" s="162">
        <f t="shared" si="81"/>
        <v>0</v>
      </c>
      <c r="ER58" s="162">
        <f t="shared" si="81"/>
        <v>0</v>
      </c>
      <c r="ES58" s="162">
        <f t="shared" si="81"/>
        <v>0</v>
      </c>
      <c r="ET58" s="162">
        <f t="shared" si="81"/>
        <v>0</v>
      </c>
      <c r="EU58" s="162">
        <f t="shared" si="81"/>
        <v>0</v>
      </c>
      <c r="EV58" s="162">
        <f t="shared" si="81"/>
        <v>1</v>
      </c>
      <c r="EW58" s="162">
        <f t="shared" si="81"/>
        <v>0</v>
      </c>
      <c r="EX58" s="162">
        <f t="shared" si="81"/>
        <v>0</v>
      </c>
      <c r="EY58" s="162">
        <f t="shared" si="81"/>
        <v>0</v>
      </c>
      <c r="EZ58" s="162">
        <f t="shared" si="81"/>
        <v>1</v>
      </c>
      <c r="FA58" s="162">
        <f t="shared" si="81"/>
        <v>0</v>
      </c>
      <c r="FB58" s="162">
        <f t="shared" si="43"/>
        <v>0</v>
      </c>
      <c r="FC58" s="162">
        <f t="shared" si="75"/>
        <v>0</v>
      </c>
      <c r="FD58" s="162">
        <f t="shared" si="44"/>
        <v>1</v>
      </c>
      <c r="FE58" s="163">
        <f t="shared" si="82"/>
        <v>164.23805844733582</v>
      </c>
      <c r="FF58" s="164"/>
      <c r="FG58" s="164"/>
      <c r="FH58" s="164"/>
      <c r="FI58" s="164"/>
      <c r="FJ58" s="164"/>
      <c r="FK58" s="164"/>
      <c r="FL58" s="165">
        <f t="shared" si="83"/>
        <v>107.41506310321675</v>
      </c>
      <c r="FM58" s="165">
        <f t="shared" si="84"/>
        <v>484.0034063743502</v>
      </c>
      <c r="FN58" s="162">
        <f t="shared" si="85"/>
        <v>1</v>
      </c>
      <c r="FO58" s="164"/>
    </row>
    <row r="59" spans="1:171" ht="12.75">
      <c r="A59" s="239"/>
      <c r="B59" s="166" t="s">
        <v>18</v>
      </c>
      <c r="C59" s="114">
        <v>1</v>
      </c>
      <c r="D59" s="233">
        <f t="shared" si="28"/>
        <v>3</v>
      </c>
      <c r="E59" s="157">
        <v>1</v>
      </c>
      <c r="F59" s="157">
        <v>1</v>
      </c>
      <c r="G59" s="114">
        <v>1</v>
      </c>
      <c r="H59" s="114">
        <v>1</v>
      </c>
      <c r="I59" s="665">
        <f t="shared" si="29"/>
      </c>
      <c r="J59" s="464">
        <f t="shared" si="52"/>
        <v>13.253153383433986</v>
      </c>
      <c r="K59" s="195">
        <f t="shared" si="53"/>
        <v>0.0019322638497581623</v>
      </c>
      <c r="L59" s="194">
        <f t="shared" si="54"/>
        <v>0.0019322638497581623</v>
      </c>
      <c r="M59" s="71">
        <f t="shared" si="55"/>
        <v>0.9980677361502418</v>
      </c>
      <c r="N59" s="71">
        <f t="shared" si="76"/>
        <v>0</v>
      </c>
      <c r="O59" s="73">
        <f t="shared" si="77"/>
        <v>100</v>
      </c>
      <c r="P59" s="73">
        <f t="shared" si="78"/>
        <v>0</v>
      </c>
      <c r="Q59" s="73"/>
      <c r="R59" s="71">
        <f t="shared" si="56"/>
        <v>0.0019322638497581623</v>
      </c>
      <c r="S59" s="71">
        <f t="shared" si="57"/>
        <v>0</v>
      </c>
      <c r="T59" s="71">
        <f t="shared" si="79"/>
        <v>0.9980677361502418</v>
      </c>
      <c r="U59" s="601"/>
      <c r="V59" s="596">
        <f t="shared" si="49"/>
        <v>1</v>
      </c>
      <c r="W59" s="609">
        <f t="shared" si="58"/>
      </c>
      <c r="X59" s="605"/>
      <c r="Y59" s="671"/>
      <c r="Z59" s="25">
        <f t="shared" si="59"/>
        <v>-22.84265567379326</v>
      </c>
      <c r="AA59" s="25">
        <f t="shared" si="34"/>
        <v>99.3986503757549</v>
      </c>
      <c r="AB59" s="25">
        <f t="shared" si="35"/>
        <v>13.253153383433986</v>
      </c>
      <c r="AC59" s="25"/>
      <c r="AD59" s="203"/>
      <c r="AE59" s="203"/>
      <c r="AF59" s="203"/>
      <c r="AG59" s="620"/>
      <c r="AH59" s="69"/>
      <c r="AI59" s="69"/>
      <c r="AJ59" s="319" t="str">
        <f t="shared" si="36"/>
        <v> </v>
      </c>
      <c r="AK59" s="69">
        <f t="shared" si="60"/>
        <v>0</v>
      </c>
      <c r="AL59" s="320">
        <f t="shared" si="61"/>
        <v>0.9980677361502418</v>
      </c>
      <c r="AM59" s="69"/>
      <c r="AN59" s="244"/>
      <c r="AO59" s="239"/>
      <c r="AP59" s="239"/>
      <c r="AQ59" s="239"/>
      <c r="AR59" s="244"/>
      <c r="AS59" s="244"/>
      <c r="AT59" s="244"/>
      <c r="AU59" s="244"/>
      <c r="AV59" s="244"/>
      <c r="AW59" s="244"/>
      <c r="AX59" s="244"/>
      <c r="AY59" s="244"/>
      <c r="AZ59" s="321" t="str">
        <f t="shared" si="37"/>
        <v> </v>
      </c>
      <c r="BA59" s="73">
        <f t="shared" si="38"/>
        <v>1</v>
      </c>
      <c r="BB59" s="322">
        <f t="shared" si="62"/>
        <v>0.0019322638497581623</v>
      </c>
      <c r="BC59" s="323">
        <f t="shared" si="51"/>
        <v>0.0019322638497581623</v>
      </c>
      <c r="BD59" s="235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319" t="str">
        <f t="shared" si="39"/>
        <v> </v>
      </c>
      <c r="BQ59" s="69">
        <f t="shared" si="63"/>
        <v>100</v>
      </c>
      <c r="BR59" s="320">
        <f t="shared" si="64"/>
        <v>100</v>
      </c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319" t="str">
        <f t="shared" si="40"/>
        <v> </v>
      </c>
      <c r="CE59" s="69">
        <f t="shared" si="65"/>
        <v>0.0019322638497581623</v>
      </c>
      <c r="CF59" s="320">
        <f t="shared" si="66"/>
        <v>0.0019322638497581623</v>
      </c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590">
        <f t="shared" si="67"/>
        <v>0.9980677361502418</v>
      </c>
      <c r="CT59" s="253">
        <f t="shared" si="68"/>
        <v>0</v>
      </c>
      <c r="CU59" s="253">
        <f t="shared" si="69"/>
        <v>0</v>
      </c>
      <c r="CV59" s="591">
        <f t="shared" si="70"/>
        <v>0</v>
      </c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39"/>
      <c r="EA59" s="239"/>
      <c r="EB59" s="239"/>
      <c r="EC59" s="239"/>
      <c r="ED59" s="239"/>
      <c r="EE59" s="239"/>
      <c r="EF59" s="239"/>
      <c r="EI59" s="596">
        <f t="shared" si="80"/>
        <v>660.2834696077757</v>
      </c>
      <c r="EJ59" s="233">
        <f t="shared" si="71"/>
        <v>0</v>
      </c>
      <c r="EK59" s="233">
        <f t="shared" si="72"/>
        <v>0</v>
      </c>
      <c r="EL59" s="73">
        <f t="shared" si="73"/>
      </c>
      <c r="EP59" s="162">
        <f t="shared" si="74"/>
        <v>0</v>
      </c>
      <c r="EQ59" s="162">
        <f t="shared" si="81"/>
        <v>0</v>
      </c>
      <c r="ER59" s="162">
        <f t="shared" si="81"/>
        <v>0</v>
      </c>
      <c r="ES59" s="162">
        <f t="shared" si="81"/>
        <v>0</v>
      </c>
      <c r="ET59" s="162">
        <f t="shared" si="81"/>
        <v>0</v>
      </c>
      <c r="EU59" s="162">
        <f t="shared" si="81"/>
        <v>0</v>
      </c>
      <c r="EV59" s="162">
        <f t="shared" si="81"/>
        <v>0</v>
      </c>
      <c r="EW59" s="162">
        <f t="shared" si="81"/>
        <v>1</v>
      </c>
      <c r="EX59" s="162">
        <f t="shared" si="81"/>
        <v>0</v>
      </c>
      <c r="EY59" s="162">
        <f t="shared" si="81"/>
        <v>0</v>
      </c>
      <c r="EZ59" s="162">
        <f t="shared" si="81"/>
        <v>0</v>
      </c>
      <c r="FA59" s="162">
        <f t="shared" si="81"/>
        <v>1</v>
      </c>
      <c r="FB59" s="162">
        <f t="shared" si="43"/>
        <v>0</v>
      </c>
      <c r="FC59" s="162">
        <f t="shared" si="75"/>
        <v>0</v>
      </c>
      <c r="FD59" s="162">
        <f t="shared" si="44"/>
        <v>1</v>
      </c>
      <c r="FE59" s="163">
        <f t="shared" si="82"/>
        <v>165.23612618348605</v>
      </c>
      <c r="FF59" s="164"/>
      <c r="FG59" s="164"/>
      <c r="FH59" s="164"/>
      <c r="FI59" s="164"/>
      <c r="FJ59" s="164"/>
      <c r="FK59" s="164"/>
      <c r="FL59" s="165">
        <f t="shared" si="83"/>
        <v>108.413130839367</v>
      </c>
      <c r="FM59" s="165">
        <f t="shared" si="84"/>
        <v>485.00147411050045</v>
      </c>
      <c r="FN59" s="162">
        <f t="shared" si="85"/>
        <v>1</v>
      </c>
      <c r="FO59" s="164"/>
    </row>
    <row r="60" spans="1:171" ht="12.75">
      <c r="A60" s="239"/>
      <c r="B60" s="166" t="s">
        <v>18</v>
      </c>
      <c r="C60" s="114">
        <v>1</v>
      </c>
      <c r="D60" s="233">
        <f t="shared" si="28"/>
        <v>4</v>
      </c>
      <c r="E60" s="157">
        <v>1</v>
      </c>
      <c r="F60" s="157">
        <v>1</v>
      </c>
      <c r="G60" s="114">
        <v>1</v>
      </c>
      <c r="H60" s="114">
        <v>1</v>
      </c>
      <c r="I60" s="665">
        <f t="shared" si="29"/>
      </c>
      <c r="J60" s="464">
        <f t="shared" si="52"/>
        <v>13.247318449728473</v>
      </c>
      <c r="K60" s="195">
        <f t="shared" si="53"/>
        <v>0.0019314131366381443</v>
      </c>
      <c r="L60" s="194">
        <f t="shared" si="54"/>
        <v>0.0019314131366381443</v>
      </c>
      <c r="M60" s="71">
        <f t="shared" si="55"/>
        <v>0.9980685868633619</v>
      </c>
      <c r="N60" s="71">
        <f t="shared" si="76"/>
        <v>0</v>
      </c>
      <c r="O60" s="73">
        <f t="shared" si="77"/>
        <v>100</v>
      </c>
      <c r="P60" s="73">
        <f t="shared" si="78"/>
        <v>0</v>
      </c>
      <c r="Q60" s="73"/>
      <c r="R60" s="71">
        <f t="shared" si="56"/>
        <v>0.0019314131366381443</v>
      </c>
      <c r="S60" s="71">
        <f t="shared" si="57"/>
        <v>0</v>
      </c>
      <c r="T60" s="71">
        <f t="shared" si="79"/>
        <v>0.9980685868633619</v>
      </c>
      <c r="U60" s="601"/>
      <c r="V60" s="596">
        <f t="shared" si="49"/>
        <v>1</v>
      </c>
      <c r="W60" s="609">
        <f t="shared" si="58"/>
      </c>
      <c r="X60" s="605"/>
      <c r="Y60" s="671"/>
      <c r="Z60" s="25">
        <f t="shared" si="59"/>
        <v>-22.747998967417843</v>
      </c>
      <c r="AA60" s="25">
        <f t="shared" si="34"/>
        <v>99.35488837296354</v>
      </c>
      <c r="AB60" s="25">
        <f t="shared" si="35"/>
        <v>13.247318449728473</v>
      </c>
      <c r="AC60" s="25"/>
      <c r="AD60" s="203"/>
      <c r="AE60" s="203"/>
      <c r="AF60" s="203"/>
      <c r="AG60" s="620"/>
      <c r="AH60" s="69"/>
      <c r="AI60" s="69"/>
      <c r="AJ60" s="319" t="str">
        <f t="shared" si="36"/>
        <v> </v>
      </c>
      <c r="AK60" s="69">
        <f t="shared" si="60"/>
        <v>0</v>
      </c>
      <c r="AL60" s="320">
        <f t="shared" si="61"/>
        <v>0.9980685868633619</v>
      </c>
      <c r="AM60" s="69"/>
      <c r="AN60" s="244"/>
      <c r="AO60" s="239"/>
      <c r="AP60" s="239"/>
      <c r="AQ60" s="239"/>
      <c r="AR60" s="244"/>
      <c r="AS60" s="244"/>
      <c r="AT60" s="244"/>
      <c r="AU60" s="244"/>
      <c r="AV60" s="244"/>
      <c r="AW60" s="244"/>
      <c r="AX60" s="244"/>
      <c r="AY60" s="244"/>
      <c r="AZ60" s="321" t="str">
        <f t="shared" si="37"/>
        <v> </v>
      </c>
      <c r="BA60" s="73">
        <f t="shared" si="38"/>
        <v>1</v>
      </c>
      <c r="BB60" s="322">
        <f t="shared" si="62"/>
        <v>0.0019314131366381443</v>
      </c>
      <c r="BC60" s="323">
        <f t="shared" si="51"/>
        <v>0.0019314131366381443</v>
      </c>
      <c r="BD60" s="235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319" t="str">
        <f t="shared" si="39"/>
        <v> </v>
      </c>
      <c r="BQ60" s="69">
        <f t="shared" si="63"/>
        <v>100</v>
      </c>
      <c r="BR60" s="320">
        <f t="shared" si="64"/>
        <v>100</v>
      </c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319" t="str">
        <f t="shared" si="40"/>
        <v> </v>
      </c>
      <c r="CE60" s="69">
        <f t="shared" si="65"/>
        <v>0.0019314131366381443</v>
      </c>
      <c r="CF60" s="320">
        <f t="shared" si="66"/>
        <v>0.0019314131366381443</v>
      </c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590">
        <f t="shared" si="67"/>
        <v>0.9980685868633619</v>
      </c>
      <c r="CT60" s="253">
        <f t="shared" si="68"/>
        <v>0</v>
      </c>
      <c r="CU60" s="253">
        <f t="shared" si="69"/>
        <v>0</v>
      </c>
      <c r="CV60" s="591">
        <f t="shared" si="70"/>
        <v>0</v>
      </c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39"/>
      <c r="DR60" s="239"/>
      <c r="DS60" s="239"/>
      <c r="DT60" s="239"/>
      <c r="DU60" s="239"/>
      <c r="DV60" s="239"/>
      <c r="DW60" s="239"/>
      <c r="DX60" s="239"/>
      <c r="DY60" s="239"/>
      <c r="DZ60" s="239"/>
      <c r="EA60" s="239"/>
      <c r="EB60" s="239"/>
      <c r="EC60" s="239"/>
      <c r="ED60" s="239"/>
      <c r="EE60" s="239"/>
      <c r="EF60" s="239"/>
      <c r="EI60" s="596">
        <f t="shared" si="80"/>
        <v>660.2834696077757</v>
      </c>
      <c r="EJ60" s="233">
        <f t="shared" si="71"/>
        <v>0</v>
      </c>
      <c r="EK60" s="233">
        <f t="shared" si="72"/>
        <v>0</v>
      </c>
      <c r="EL60" s="73">
        <f t="shared" si="73"/>
      </c>
      <c r="EP60" s="162">
        <f t="shared" si="74"/>
        <v>0</v>
      </c>
      <c r="EQ60" s="162">
        <f t="shared" si="81"/>
        <v>0</v>
      </c>
      <c r="ER60" s="162">
        <f t="shared" si="81"/>
        <v>0</v>
      </c>
      <c r="ES60" s="162">
        <f t="shared" si="81"/>
        <v>0</v>
      </c>
      <c r="ET60" s="162">
        <f t="shared" si="81"/>
        <v>0</v>
      </c>
      <c r="EU60" s="162">
        <f t="shared" si="81"/>
        <v>0</v>
      </c>
      <c r="EV60" s="162">
        <f t="shared" si="81"/>
        <v>0</v>
      </c>
      <c r="EW60" s="162">
        <f t="shared" si="81"/>
        <v>0</v>
      </c>
      <c r="EX60" s="162">
        <f t="shared" si="81"/>
        <v>1</v>
      </c>
      <c r="EY60" s="162">
        <f t="shared" si="81"/>
        <v>0</v>
      </c>
      <c r="EZ60" s="162">
        <f t="shared" si="81"/>
        <v>0</v>
      </c>
      <c r="FA60" s="162">
        <f t="shared" si="81"/>
        <v>0</v>
      </c>
      <c r="FB60" s="162">
        <f t="shared" si="43"/>
        <v>0</v>
      </c>
      <c r="FC60" s="162">
        <f t="shared" si="75"/>
        <v>0</v>
      </c>
      <c r="FD60" s="162">
        <f t="shared" si="44"/>
        <v>1</v>
      </c>
      <c r="FE60" s="163">
        <f t="shared" si="82"/>
        <v>166.2341947703494</v>
      </c>
      <c r="FF60" s="164"/>
      <c r="FG60" s="164"/>
      <c r="FH60" s="164"/>
      <c r="FI60" s="164"/>
      <c r="FJ60" s="164"/>
      <c r="FK60" s="164"/>
      <c r="FL60" s="165">
        <f t="shared" si="83"/>
        <v>109.41119942623037</v>
      </c>
      <c r="FM60" s="165">
        <f t="shared" si="84"/>
        <v>485.99954269736384</v>
      </c>
      <c r="FN60" s="162">
        <f t="shared" si="85"/>
        <v>1</v>
      </c>
      <c r="FO60" s="164"/>
    </row>
    <row r="61" spans="1:171" ht="12.75">
      <c r="A61" s="239"/>
      <c r="B61" s="166" t="s">
        <v>18</v>
      </c>
      <c r="C61" s="114">
        <v>1</v>
      </c>
      <c r="D61" s="233">
        <f t="shared" si="28"/>
        <v>5</v>
      </c>
      <c r="E61" s="157">
        <v>1</v>
      </c>
      <c r="F61" s="157">
        <v>1</v>
      </c>
      <c r="G61" s="114">
        <v>1</v>
      </c>
      <c r="H61" s="114">
        <v>1</v>
      </c>
      <c r="I61" s="665">
        <f t="shared" si="29"/>
      </c>
      <c r="J61" s="464">
        <f t="shared" si="52"/>
        <v>13.24107776967392</v>
      </c>
      <c r="K61" s="195">
        <f t="shared" si="53"/>
        <v>0.0019305032671060832</v>
      </c>
      <c r="L61" s="194">
        <f t="shared" si="54"/>
        <v>0.0019305032671060832</v>
      </c>
      <c r="M61" s="71">
        <f t="shared" si="55"/>
        <v>0.9980694967328939</v>
      </c>
      <c r="N61" s="71">
        <f t="shared" si="76"/>
        <v>0</v>
      </c>
      <c r="O61" s="73">
        <f t="shared" si="77"/>
        <v>100</v>
      </c>
      <c r="P61" s="73">
        <f t="shared" si="78"/>
        <v>0</v>
      </c>
      <c r="Q61" s="73"/>
      <c r="R61" s="71">
        <f t="shared" si="56"/>
        <v>0.0019305032671060832</v>
      </c>
      <c r="S61" s="71">
        <f t="shared" si="57"/>
        <v>0</v>
      </c>
      <c r="T61" s="71">
        <f t="shared" si="79"/>
        <v>0.9980694967328939</v>
      </c>
      <c r="U61" s="601"/>
      <c r="V61" s="596">
        <f t="shared" si="49"/>
        <v>1</v>
      </c>
      <c r="W61" s="609">
        <f t="shared" si="58"/>
      </c>
      <c r="X61" s="605"/>
      <c r="Y61" s="671"/>
      <c r="Z61" s="25">
        <f t="shared" si="59"/>
        <v>-22.646601538006347</v>
      </c>
      <c r="AA61" s="25">
        <f t="shared" si="34"/>
        <v>99.3080832725544</v>
      </c>
      <c r="AB61" s="25">
        <f t="shared" si="35"/>
        <v>13.24107776967392</v>
      </c>
      <c r="AC61" s="25"/>
      <c r="AD61" s="203"/>
      <c r="AE61" s="203"/>
      <c r="AF61" s="203"/>
      <c r="AG61" s="620"/>
      <c r="AH61" s="69"/>
      <c r="AI61" s="69"/>
      <c r="AJ61" s="319" t="str">
        <f t="shared" si="36"/>
        <v> </v>
      </c>
      <c r="AK61" s="69">
        <f t="shared" si="60"/>
        <v>0</v>
      </c>
      <c r="AL61" s="320">
        <f t="shared" si="61"/>
        <v>0.9980694967328939</v>
      </c>
      <c r="AM61" s="69"/>
      <c r="AN61" s="244"/>
      <c r="AO61" s="239"/>
      <c r="AP61" s="239"/>
      <c r="AQ61" s="239"/>
      <c r="AR61" s="244"/>
      <c r="AS61" s="244"/>
      <c r="AT61" s="244"/>
      <c r="AU61" s="244"/>
      <c r="AV61" s="244"/>
      <c r="AW61" s="244"/>
      <c r="AX61" s="244"/>
      <c r="AY61" s="244"/>
      <c r="AZ61" s="321" t="str">
        <f t="shared" si="37"/>
        <v> </v>
      </c>
      <c r="BA61" s="73">
        <f t="shared" si="38"/>
        <v>1</v>
      </c>
      <c r="BB61" s="322">
        <f t="shared" si="62"/>
        <v>0.0019305032671060832</v>
      </c>
      <c r="BC61" s="323">
        <f t="shared" si="51"/>
        <v>0.0019305032671060832</v>
      </c>
      <c r="BD61" s="235"/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39"/>
      <c r="BP61" s="319" t="str">
        <f t="shared" si="39"/>
        <v> </v>
      </c>
      <c r="BQ61" s="69">
        <f t="shared" si="63"/>
        <v>100</v>
      </c>
      <c r="BR61" s="320">
        <f t="shared" si="64"/>
        <v>100</v>
      </c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319" t="str">
        <f t="shared" si="40"/>
        <v> </v>
      </c>
      <c r="CE61" s="69">
        <f t="shared" si="65"/>
        <v>0.0019305032671060832</v>
      </c>
      <c r="CF61" s="320">
        <f t="shared" si="66"/>
        <v>0.0019305032671060832</v>
      </c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590">
        <f t="shared" si="67"/>
        <v>0.9980694967328939</v>
      </c>
      <c r="CT61" s="253">
        <f t="shared" si="68"/>
        <v>0</v>
      </c>
      <c r="CU61" s="253">
        <f t="shared" si="69"/>
        <v>0</v>
      </c>
      <c r="CV61" s="591">
        <f t="shared" si="70"/>
        <v>0</v>
      </c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39"/>
      <c r="DR61" s="239"/>
      <c r="DS61" s="239"/>
      <c r="DT61" s="239"/>
      <c r="DU61" s="239"/>
      <c r="DV61" s="239"/>
      <c r="DW61" s="239"/>
      <c r="DX61" s="239"/>
      <c r="DY61" s="239"/>
      <c r="DZ61" s="239"/>
      <c r="EA61" s="239"/>
      <c r="EB61" s="239"/>
      <c r="EC61" s="239"/>
      <c r="ED61" s="239"/>
      <c r="EE61" s="239"/>
      <c r="EF61" s="239"/>
      <c r="EI61" s="596">
        <f t="shared" si="80"/>
        <v>660.2834696077757</v>
      </c>
      <c r="EJ61" s="233">
        <f t="shared" si="71"/>
        <v>0</v>
      </c>
      <c r="EK61" s="233">
        <f t="shared" si="72"/>
        <v>0</v>
      </c>
      <c r="EL61" s="73">
        <f t="shared" si="73"/>
      </c>
      <c r="EP61" s="162">
        <f t="shared" si="74"/>
        <v>0</v>
      </c>
      <c r="EQ61" s="162">
        <f t="shared" si="81"/>
        <v>0</v>
      </c>
      <c r="ER61" s="162">
        <f t="shared" si="81"/>
        <v>0</v>
      </c>
      <c r="ES61" s="162">
        <f t="shared" si="81"/>
        <v>0</v>
      </c>
      <c r="ET61" s="162">
        <f t="shared" si="81"/>
        <v>0</v>
      </c>
      <c r="EU61" s="162">
        <f t="shared" si="81"/>
        <v>0</v>
      </c>
      <c r="EV61" s="162">
        <f t="shared" si="81"/>
        <v>0</v>
      </c>
      <c r="EW61" s="162">
        <f t="shared" si="81"/>
        <v>0</v>
      </c>
      <c r="EX61" s="162">
        <f t="shared" si="81"/>
        <v>0</v>
      </c>
      <c r="EY61" s="162">
        <f t="shared" si="81"/>
        <v>1</v>
      </c>
      <c r="EZ61" s="162">
        <f t="shared" si="81"/>
        <v>0</v>
      </c>
      <c r="FA61" s="162">
        <f t="shared" si="81"/>
        <v>0</v>
      </c>
      <c r="FB61" s="162">
        <f t="shared" si="43"/>
        <v>0</v>
      </c>
      <c r="FC61" s="162">
        <f t="shared" si="75"/>
        <v>0</v>
      </c>
      <c r="FD61" s="162">
        <f t="shared" si="44"/>
        <v>1</v>
      </c>
      <c r="FE61" s="163">
        <f t="shared" si="82"/>
        <v>167.2322642670823</v>
      </c>
      <c r="FF61" s="164"/>
      <c r="FG61" s="164"/>
      <c r="FH61" s="164"/>
      <c r="FI61" s="164"/>
      <c r="FJ61" s="164"/>
      <c r="FK61" s="164"/>
      <c r="FL61" s="165">
        <f t="shared" si="83"/>
        <v>110.40926892296326</v>
      </c>
      <c r="FM61" s="165">
        <f t="shared" si="84"/>
        <v>486.99761219409675</v>
      </c>
      <c r="FN61" s="162">
        <f t="shared" si="85"/>
        <v>1</v>
      </c>
      <c r="FO61" s="164"/>
    </row>
    <row r="62" spans="1:171" ht="12.75">
      <c r="A62" s="239"/>
      <c r="B62" s="166" t="s">
        <v>18</v>
      </c>
      <c r="C62" s="114">
        <v>1</v>
      </c>
      <c r="D62" s="233">
        <f t="shared" si="28"/>
        <v>6</v>
      </c>
      <c r="E62" s="157">
        <v>1</v>
      </c>
      <c r="F62" s="157">
        <v>1</v>
      </c>
      <c r="G62" s="114">
        <v>1</v>
      </c>
      <c r="H62" s="114">
        <v>1</v>
      </c>
      <c r="I62" s="665">
        <f t="shared" si="29"/>
      </c>
      <c r="J62" s="464">
        <f t="shared" si="52"/>
        <v>13.23443512918045</v>
      </c>
      <c r="K62" s="195">
        <f t="shared" si="53"/>
        <v>0.001929534793134559</v>
      </c>
      <c r="L62" s="194">
        <f t="shared" si="54"/>
        <v>0.001929534793134559</v>
      </c>
      <c r="M62" s="71">
        <f t="shared" si="55"/>
        <v>0.9980704652068655</v>
      </c>
      <c r="N62" s="71">
        <f t="shared" si="76"/>
        <v>0</v>
      </c>
      <c r="O62" s="73">
        <f t="shared" si="77"/>
        <v>100</v>
      </c>
      <c r="P62" s="73">
        <f t="shared" si="78"/>
        <v>0</v>
      </c>
      <c r="Q62" s="73"/>
      <c r="R62" s="71">
        <f t="shared" si="56"/>
        <v>0.001929534793134559</v>
      </c>
      <c r="S62" s="71">
        <f t="shared" si="57"/>
        <v>0</v>
      </c>
      <c r="T62" s="71">
        <f t="shared" si="79"/>
        <v>0.9980704652068655</v>
      </c>
      <c r="U62" s="601"/>
      <c r="V62" s="596">
        <f aca="true" t="shared" si="86" ref="V62:V94">R62/L62</f>
        <v>1</v>
      </c>
      <c r="W62" s="609">
        <f t="shared" si="58"/>
      </c>
      <c r="X62" s="605"/>
      <c r="Y62" s="671"/>
      <c r="Z62" s="25">
        <f t="shared" si="59"/>
        <v>-22.538493431805453</v>
      </c>
      <c r="AA62" s="25">
        <f t="shared" si="34"/>
        <v>99.25826346885339</v>
      </c>
      <c r="AB62" s="25">
        <f t="shared" si="35"/>
        <v>13.23443512918045</v>
      </c>
      <c r="AC62" s="25"/>
      <c r="AD62" s="203"/>
      <c r="AE62" s="203"/>
      <c r="AF62" s="203"/>
      <c r="AG62" s="620"/>
      <c r="AH62" s="69"/>
      <c r="AI62" s="69"/>
      <c r="AJ62" s="319" t="str">
        <f t="shared" si="36"/>
        <v> </v>
      </c>
      <c r="AK62" s="69">
        <f t="shared" si="60"/>
        <v>0</v>
      </c>
      <c r="AL62" s="320">
        <f t="shared" si="61"/>
        <v>0.9980704652068655</v>
      </c>
      <c r="AM62" s="69"/>
      <c r="AN62" s="244"/>
      <c r="AO62" s="239"/>
      <c r="AP62" s="239"/>
      <c r="AQ62" s="239"/>
      <c r="AR62" s="244"/>
      <c r="AS62" s="244"/>
      <c r="AT62" s="244"/>
      <c r="AU62" s="244"/>
      <c r="AV62" s="244"/>
      <c r="AW62" s="244"/>
      <c r="AX62" s="244"/>
      <c r="AY62" s="244"/>
      <c r="AZ62" s="321" t="str">
        <f t="shared" si="37"/>
        <v> </v>
      </c>
      <c r="BA62" s="73">
        <f t="shared" si="38"/>
        <v>1</v>
      </c>
      <c r="BB62" s="322">
        <f t="shared" si="62"/>
        <v>0.001929534793134559</v>
      </c>
      <c r="BC62" s="323">
        <f t="shared" si="51"/>
        <v>0.001929534793134559</v>
      </c>
      <c r="BD62" s="235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319" t="str">
        <f t="shared" si="39"/>
        <v> </v>
      </c>
      <c r="BQ62" s="69">
        <f t="shared" si="63"/>
        <v>100</v>
      </c>
      <c r="BR62" s="320">
        <f t="shared" si="64"/>
        <v>100</v>
      </c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319" t="str">
        <f t="shared" si="40"/>
        <v> </v>
      </c>
      <c r="CE62" s="69">
        <f t="shared" si="65"/>
        <v>0.001929534793134559</v>
      </c>
      <c r="CF62" s="320">
        <f t="shared" si="66"/>
        <v>0.001929534793134559</v>
      </c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590">
        <f t="shared" si="67"/>
        <v>0.9980704652068655</v>
      </c>
      <c r="CT62" s="253">
        <f t="shared" si="68"/>
        <v>0</v>
      </c>
      <c r="CU62" s="253">
        <f t="shared" si="69"/>
        <v>0</v>
      </c>
      <c r="CV62" s="591">
        <f t="shared" si="70"/>
        <v>0</v>
      </c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I62" s="596">
        <f t="shared" si="80"/>
        <v>660.2834696077757</v>
      </c>
      <c r="EJ62" s="233">
        <f t="shared" si="71"/>
        <v>0</v>
      </c>
      <c r="EK62" s="233">
        <f t="shared" si="72"/>
        <v>0</v>
      </c>
      <c r="EL62" s="73">
        <f t="shared" si="73"/>
      </c>
      <c r="EP62" s="162">
        <f t="shared" si="74"/>
        <v>0</v>
      </c>
      <c r="EQ62" s="162">
        <f t="shared" si="81"/>
        <v>0</v>
      </c>
      <c r="ER62" s="162">
        <f t="shared" si="81"/>
        <v>0</v>
      </c>
      <c r="ES62" s="162">
        <f t="shared" si="81"/>
        <v>0</v>
      </c>
      <c r="ET62" s="162">
        <f t="shared" si="81"/>
        <v>0</v>
      </c>
      <c r="EU62" s="162">
        <f t="shared" si="81"/>
        <v>0</v>
      </c>
      <c r="EV62" s="162">
        <f t="shared" si="81"/>
        <v>0</v>
      </c>
      <c r="EW62" s="162">
        <f t="shared" si="81"/>
        <v>0</v>
      </c>
      <c r="EX62" s="162">
        <f t="shared" si="81"/>
        <v>0</v>
      </c>
      <c r="EY62" s="162">
        <f t="shared" si="81"/>
        <v>0</v>
      </c>
      <c r="EZ62" s="162">
        <f t="shared" si="81"/>
        <v>1</v>
      </c>
      <c r="FA62" s="162">
        <f t="shared" si="81"/>
        <v>0</v>
      </c>
      <c r="FB62" s="162">
        <f t="shared" si="43"/>
        <v>0</v>
      </c>
      <c r="FC62" s="162">
        <f t="shared" si="75"/>
        <v>0</v>
      </c>
      <c r="FD62" s="162">
        <f t="shared" si="44"/>
        <v>1</v>
      </c>
      <c r="FE62" s="163">
        <f t="shared" si="82"/>
        <v>168.23033473228915</v>
      </c>
      <c r="FF62" s="164"/>
      <c r="FG62" s="164"/>
      <c r="FH62" s="164"/>
      <c r="FI62" s="164"/>
      <c r="FJ62" s="164"/>
      <c r="FK62" s="164"/>
      <c r="FL62" s="165">
        <f t="shared" si="83"/>
        <v>111.40733938817013</v>
      </c>
      <c r="FM62" s="165">
        <f t="shared" si="84"/>
        <v>487.9956826593036</v>
      </c>
      <c r="FN62" s="162">
        <f t="shared" si="85"/>
        <v>1</v>
      </c>
      <c r="FO62" s="164"/>
    </row>
    <row r="63" spans="1:171" ht="12.75">
      <c r="A63" s="239"/>
      <c r="B63" s="166" t="s">
        <v>18</v>
      </c>
      <c r="C63" s="114">
        <v>1</v>
      </c>
      <c r="D63" s="233">
        <f t="shared" si="28"/>
        <v>7</v>
      </c>
      <c r="E63" s="157">
        <v>1</v>
      </c>
      <c r="F63" s="157">
        <v>1</v>
      </c>
      <c r="G63" s="114">
        <v>1</v>
      </c>
      <c r="H63" s="114">
        <v>1</v>
      </c>
      <c r="I63" s="665">
        <f t="shared" si="29"/>
      </c>
      <c r="J63" s="464">
        <f t="shared" si="52"/>
        <v>13.227394527412018</v>
      </c>
      <c r="K63" s="195">
        <f t="shared" si="53"/>
        <v>0.0019285082977878224</v>
      </c>
      <c r="L63" s="194">
        <f t="shared" si="54"/>
        <v>0.0019285082977878224</v>
      </c>
      <c r="M63" s="71">
        <f t="shared" si="55"/>
        <v>0.9980714917022122</v>
      </c>
      <c r="N63" s="71">
        <f t="shared" si="76"/>
        <v>0</v>
      </c>
      <c r="O63" s="73">
        <f t="shared" si="77"/>
        <v>100</v>
      </c>
      <c r="P63" s="73">
        <f t="shared" si="78"/>
        <v>0</v>
      </c>
      <c r="Q63" s="73"/>
      <c r="R63" s="71">
        <f t="shared" si="56"/>
        <v>0.0019285082977878224</v>
      </c>
      <c r="S63" s="71">
        <f t="shared" si="57"/>
        <v>0</v>
      </c>
      <c r="T63" s="71">
        <f t="shared" si="79"/>
        <v>0.9980714917022122</v>
      </c>
      <c r="U63" s="601"/>
      <c r="V63" s="596">
        <f t="shared" si="86"/>
        <v>1</v>
      </c>
      <c r="W63" s="609">
        <f t="shared" si="58"/>
      </c>
      <c r="X63" s="605"/>
      <c r="Y63" s="671"/>
      <c r="Z63" s="25">
        <f t="shared" si="59"/>
        <v>-22.423706683580185</v>
      </c>
      <c r="AA63" s="25">
        <f t="shared" si="34"/>
        <v>99.20545895559013</v>
      </c>
      <c r="AB63" s="25">
        <f t="shared" si="35"/>
        <v>13.227394527412018</v>
      </c>
      <c r="AC63" s="25"/>
      <c r="AD63" s="203"/>
      <c r="AE63" s="203"/>
      <c r="AF63" s="203"/>
      <c r="AG63" s="620"/>
      <c r="AH63" s="69"/>
      <c r="AI63" s="69"/>
      <c r="AJ63" s="319" t="str">
        <f t="shared" si="36"/>
        <v> </v>
      </c>
      <c r="AK63" s="69">
        <f t="shared" si="60"/>
        <v>0</v>
      </c>
      <c r="AL63" s="320">
        <f t="shared" si="61"/>
        <v>0.9980714917022122</v>
      </c>
      <c r="AM63" s="69"/>
      <c r="AN63" s="244"/>
      <c r="AO63" s="239"/>
      <c r="AP63" s="239"/>
      <c r="AQ63" s="239"/>
      <c r="AR63" s="244"/>
      <c r="AS63" s="244"/>
      <c r="AT63" s="244"/>
      <c r="AU63" s="244"/>
      <c r="AV63" s="244"/>
      <c r="AW63" s="244"/>
      <c r="AX63" s="244"/>
      <c r="AY63" s="244"/>
      <c r="AZ63" s="321" t="str">
        <f t="shared" si="37"/>
        <v> </v>
      </c>
      <c r="BA63" s="73">
        <f t="shared" si="38"/>
        <v>1</v>
      </c>
      <c r="BB63" s="322">
        <f t="shared" si="62"/>
        <v>0.0019285082977878224</v>
      </c>
      <c r="BC63" s="323">
        <f t="shared" si="51"/>
        <v>0.0019285082977878224</v>
      </c>
      <c r="BD63" s="235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319" t="str">
        <f t="shared" si="39"/>
        <v> </v>
      </c>
      <c r="BQ63" s="69">
        <f t="shared" si="63"/>
        <v>100</v>
      </c>
      <c r="BR63" s="320">
        <f t="shared" si="64"/>
        <v>100</v>
      </c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319" t="str">
        <f t="shared" si="40"/>
        <v> </v>
      </c>
      <c r="CE63" s="69">
        <f t="shared" si="65"/>
        <v>0.0019285082977878224</v>
      </c>
      <c r="CF63" s="320">
        <f t="shared" si="66"/>
        <v>0.0019285082977878224</v>
      </c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590">
        <f t="shared" si="67"/>
        <v>0.9980714917022122</v>
      </c>
      <c r="CT63" s="253">
        <f t="shared" si="68"/>
        <v>0</v>
      </c>
      <c r="CU63" s="253">
        <f t="shared" si="69"/>
        <v>0</v>
      </c>
      <c r="CV63" s="591">
        <f t="shared" si="70"/>
        <v>0</v>
      </c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I63" s="596">
        <f t="shared" si="80"/>
        <v>660.2834696077757</v>
      </c>
      <c r="EJ63" s="233">
        <f t="shared" si="71"/>
        <v>0</v>
      </c>
      <c r="EK63" s="233">
        <f t="shared" si="72"/>
        <v>0</v>
      </c>
      <c r="EL63" s="73">
        <f t="shared" si="73"/>
      </c>
      <c r="EP63" s="162">
        <f t="shared" si="74"/>
        <v>0</v>
      </c>
      <c r="EQ63" s="162">
        <f t="shared" si="81"/>
        <v>0</v>
      </c>
      <c r="ER63" s="162">
        <f t="shared" si="81"/>
        <v>0</v>
      </c>
      <c r="ES63" s="162">
        <f t="shared" si="81"/>
        <v>0</v>
      </c>
      <c r="ET63" s="162">
        <f t="shared" si="81"/>
        <v>0</v>
      </c>
      <c r="EU63" s="162">
        <f t="shared" si="81"/>
        <v>0</v>
      </c>
      <c r="EV63" s="162">
        <f t="shared" si="81"/>
        <v>0</v>
      </c>
      <c r="EW63" s="162">
        <f t="shared" si="81"/>
        <v>0</v>
      </c>
      <c r="EX63" s="162">
        <f t="shared" si="81"/>
        <v>0</v>
      </c>
      <c r="EY63" s="162">
        <f t="shared" si="81"/>
        <v>0</v>
      </c>
      <c r="EZ63" s="162">
        <f t="shared" si="81"/>
        <v>0</v>
      </c>
      <c r="FA63" s="162">
        <f t="shared" si="81"/>
        <v>1</v>
      </c>
      <c r="FB63" s="162">
        <f t="shared" si="43"/>
        <v>0</v>
      </c>
      <c r="FC63" s="162">
        <f t="shared" si="75"/>
        <v>0</v>
      </c>
      <c r="FD63" s="162">
        <f t="shared" si="44"/>
        <v>1</v>
      </c>
      <c r="FE63" s="163">
        <f t="shared" si="82"/>
        <v>169.22840622399136</v>
      </c>
      <c r="FF63" s="164"/>
      <c r="FG63" s="164"/>
      <c r="FH63" s="164"/>
      <c r="FI63" s="164"/>
      <c r="FJ63" s="164"/>
      <c r="FK63" s="164"/>
      <c r="FL63" s="165">
        <f t="shared" si="83"/>
        <v>112.40541087987233</v>
      </c>
      <c r="FM63" s="165">
        <f t="shared" si="84"/>
        <v>488.9937541510058</v>
      </c>
      <c r="FN63" s="162">
        <f t="shared" si="85"/>
        <v>1</v>
      </c>
      <c r="FO63" s="164"/>
    </row>
    <row r="64" spans="1:171" ht="12.75">
      <c r="A64" s="239"/>
      <c r="B64" s="166" t="s">
        <v>18</v>
      </c>
      <c r="C64" s="114">
        <v>1</v>
      </c>
      <c r="D64" s="233">
        <f t="shared" si="28"/>
        <v>8</v>
      </c>
      <c r="E64" s="157">
        <v>1</v>
      </c>
      <c r="F64" s="157">
        <v>1</v>
      </c>
      <c r="G64" s="114">
        <v>1</v>
      </c>
      <c r="H64" s="114">
        <v>1</v>
      </c>
      <c r="I64" s="665">
        <f t="shared" si="29"/>
      </c>
      <c r="J64" s="464">
        <f t="shared" si="52"/>
        <v>13.21996016891031</v>
      </c>
      <c r="K64" s="195">
        <f t="shared" si="53"/>
        <v>0.0019274243940734844</v>
      </c>
      <c r="L64" s="194">
        <f t="shared" si="54"/>
        <v>0.0019274243940734844</v>
      </c>
      <c r="M64" s="71">
        <f t="shared" si="55"/>
        <v>0.9980725756059265</v>
      </c>
      <c r="N64" s="71">
        <f t="shared" si="76"/>
        <v>0</v>
      </c>
      <c r="O64" s="73">
        <f t="shared" si="77"/>
        <v>100</v>
      </c>
      <c r="P64" s="73">
        <f t="shared" si="78"/>
        <v>0</v>
      </c>
      <c r="Q64" s="73"/>
      <c r="R64" s="71">
        <f t="shared" si="56"/>
        <v>0.0019274243940734844</v>
      </c>
      <c r="S64" s="71">
        <f t="shared" si="57"/>
        <v>0</v>
      </c>
      <c r="T64" s="71">
        <f t="shared" si="79"/>
        <v>0.9980725756059265</v>
      </c>
      <c r="U64" s="601"/>
      <c r="V64" s="596">
        <f t="shared" si="86"/>
        <v>1</v>
      </c>
      <c r="W64" s="609">
        <f t="shared" si="58"/>
      </c>
      <c r="X64" s="605"/>
      <c r="Y64" s="671"/>
      <c r="Z64" s="25">
        <f t="shared" si="59"/>
        <v>-22.30227530712135</v>
      </c>
      <c r="AA64" s="25">
        <f t="shared" si="34"/>
        <v>99.14970126682732</v>
      </c>
      <c r="AB64" s="25">
        <f t="shared" si="35"/>
        <v>13.21996016891031</v>
      </c>
      <c r="AC64" s="25"/>
      <c r="AD64" s="203"/>
      <c r="AE64" s="203"/>
      <c r="AF64" s="203"/>
      <c r="AG64" s="620"/>
      <c r="AH64" s="69"/>
      <c r="AI64" s="69"/>
      <c r="AJ64" s="319" t="str">
        <f t="shared" si="36"/>
        <v> </v>
      </c>
      <c r="AK64" s="69">
        <f t="shared" si="60"/>
        <v>0</v>
      </c>
      <c r="AL64" s="320">
        <f t="shared" si="61"/>
        <v>0.9980725756059265</v>
      </c>
      <c r="AM64" s="69"/>
      <c r="AN64" s="244"/>
      <c r="AO64" s="239"/>
      <c r="AP64" s="239"/>
      <c r="AQ64" s="239"/>
      <c r="AR64" s="244"/>
      <c r="AS64" s="244"/>
      <c r="AT64" s="244"/>
      <c r="AU64" s="244"/>
      <c r="AV64" s="244"/>
      <c r="AW64" s="244"/>
      <c r="AX64" s="244"/>
      <c r="AY64" s="244"/>
      <c r="AZ64" s="321" t="str">
        <f t="shared" si="37"/>
        <v> </v>
      </c>
      <c r="BA64" s="73">
        <f t="shared" si="38"/>
        <v>1</v>
      </c>
      <c r="BB64" s="322">
        <f t="shared" si="62"/>
        <v>0.0019274243940734844</v>
      </c>
      <c r="BC64" s="323">
        <f t="shared" si="51"/>
        <v>0.0019274243940734844</v>
      </c>
      <c r="BD64" s="235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319" t="str">
        <f t="shared" si="39"/>
        <v> </v>
      </c>
      <c r="BQ64" s="69">
        <f t="shared" si="63"/>
        <v>100</v>
      </c>
      <c r="BR64" s="320">
        <f t="shared" si="64"/>
        <v>100</v>
      </c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319" t="str">
        <f t="shared" si="40"/>
        <v> </v>
      </c>
      <c r="CE64" s="69">
        <f t="shared" si="65"/>
        <v>0.0019274243940734844</v>
      </c>
      <c r="CF64" s="320">
        <f t="shared" si="66"/>
        <v>0.0019274243940734844</v>
      </c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590">
        <f t="shared" si="67"/>
        <v>0.9980725756059265</v>
      </c>
      <c r="CT64" s="253">
        <f t="shared" si="68"/>
        <v>0</v>
      </c>
      <c r="CU64" s="253">
        <f t="shared" si="69"/>
        <v>0</v>
      </c>
      <c r="CV64" s="591">
        <f t="shared" si="70"/>
        <v>0</v>
      </c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I64" s="596">
        <f t="shared" si="80"/>
        <v>660.2834696077757</v>
      </c>
      <c r="EJ64" s="233">
        <f t="shared" si="71"/>
        <v>0</v>
      </c>
      <c r="EK64" s="233">
        <f t="shared" si="72"/>
        <v>0</v>
      </c>
      <c r="EL64" s="73">
        <f t="shared" si="73"/>
      </c>
      <c r="EP64" s="162">
        <f t="shared" si="74"/>
        <v>0</v>
      </c>
      <c r="EQ64" s="162">
        <f t="shared" si="81"/>
        <v>0</v>
      </c>
      <c r="ER64" s="162">
        <f t="shared" si="81"/>
        <v>0</v>
      </c>
      <c r="ES64" s="162">
        <f t="shared" si="81"/>
        <v>0</v>
      </c>
      <c r="ET64" s="162">
        <f t="shared" si="81"/>
        <v>0</v>
      </c>
      <c r="EU64" s="162">
        <f t="shared" si="81"/>
        <v>0</v>
      </c>
      <c r="EV64" s="162">
        <f t="shared" si="81"/>
        <v>0</v>
      </c>
      <c r="EW64" s="162">
        <f t="shared" si="81"/>
        <v>0</v>
      </c>
      <c r="EX64" s="162">
        <f t="shared" si="81"/>
        <v>0</v>
      </c>
      <c r="EY64" s="162">
        <f t="shared" si="81"/>
        <v>0</v>
      </c>
      <c r="EZ64" s="162">
        <f t="shared" si="81"/>
        <v>0</v>
      </c>
      <c r="FA64" s="162">
        <f t="shared" si="81"/>
        <v>0</v>
      </c>
      <c r="FB64" s="162">
        <f t="shared" si="43"/>
        <v>0</v>
      </c>
      <c r="FC64" s="162">
        <f t="shared" si="75"/>
        <v>0</v>
      </c>
      <c r="FD64" s="162">
        <f t="shared" si="44"/>
        <v>0</v>
      </c>
      <c r="FE64" s="163">
        <f t="shared" si="82"/>
        <v>100</v>
      </c>
      <c r="FF64" s="164"/>
      <c r="FG64" s="164"/>
      <c r="FH64" s="164"/>
      <c r="FI64" s="164"/>
      <c r="FJ64" s="164"/>
      <c r="FK64" s="164"/>
      <c r="FL64" s="165">
        <f t="shared" si="83"/>
        <v>113.40348345547827</v>
      </c>
      <c r="FM64" s="165">
        <f t="shared" si="84"/>
        <v>489.99182672661175</v>
      </c>
      <c r="FN64" s="162">
        <f t="shared" si="85"/>
        <v>1</v>
      </c>
      <c r="FO64" s="164"/>
    </row>
    <row r="65" spans="1:171" ht="12.75">
      <c r="A65" s="239"/>
      <c r="B65" s="166" t="s">
        <v>18</v>
      </c>
      <c r="C65" s="114">
        <v>1</v>
      </c>
      <c r="D65" s="233">
        <f t="shared" si="28"/>
        <v>9</v>
      </c>
      <c r="E65" s="157">
        <v>1</v>
      </c>
      <c r="F65" s="157">
        <v>1</v>
      </c>
      <c r="G65" s="114">
        <v>1</v>
      </c>
      <c r="H65" s="114">
        <v>1</v>
      </c>
      <c r="I65" s="665">
        <f t="shared" si="29"/>
      </c>
      <c r="J65" s="464">
        <f t="shared" si="52"/>
        <v>13.212136455417193</v>
      </c>
      <c r="K65" s="195">
        <f t="shared" si="53"/>
        <v>0.0019262837237502604</v>
      </c>
      <c r="L65" s="194">
        <f t="shared" si="54"/>
        <v>0.0019262837237502604</v>
      </c>
      <c r="M65" s="71">
        <f t="shared" si="55"/>
        <v>0.9980737162762497</v>
      </c>
      <c r="N65" s="71">
        <f t="shared" si="76"/>
        <v>0</v>
      </c>
      <c r="O65" s="73">
        <f t="shared" si="77"/>
        <v>100</v>
      </c>
      <c r="P65" s="73">
        <f t="shared" si="78"/>
        <v>0</v>
      </c>
      <c r="Q65" s="73"/>
      <c r="R65" s="71">
        <f t="shared" si="56"/>
        <v>0.0019262837237502604</v>
      </c>
      <c r="S65" s="71">
        <f t="shared" si="57"/>
        <v>0</v>
      </c>
      <c r="T65" s="71">
        <f t="shared" si="79"/>
        <v>0.9980737162762497</v>
      </c>
      <c r="U65" s="601"/>
      <c r="V65" s="596">
        <f t="shared" si="86"/>
        <v>1</v>
      </c>
      <c r="W65" s="609">
        <f t="shared" si="58"/>
      </c>
      <c r="X65" s="605"/>
      <c r="Y65" s="671"/>
      <c r="Z65" s="25">
        <f t="shared" si="59"/>
        <v>-22.174235285166493</v>
      </c>
      <c r="AA65" s="25">
        <f t="shared" si="34"/>
        <v>99.09102341562895</v>
      </c>
      <c r="AB65" s="25">
        <f t="shared" si="35"/>
        <v>13.212136455417193</v>
      </c>
      <c r="AC65" s="25"/>
      <c r="AD65" s="203"/>
      <c r="AE65" s="203"/>
      <c r="AF65" s="203"/>
      <c r="AG65" s="620"/>
      <c r="AH65" s="69"/>
      <c r="AI65" s="69"/>
      <c r="AJ65" s="319" t="str">
        <f t="shared" si="36"/>
        <v> </v>
      </c>
      <c r="AK65" s="69">
        <f t="shared" si="60"/>
        <v>0</v>
      </c>
      <c r="AL65" s="320">
        <f t="shared" si="61"/>
        <v>0.9980737162762497</v>
      </c>
      <c r="AM65" s="69"/>
      <c r="AN65" s="244"/>
      <c r="AO65" s="239"/>
      <c r="AP65" s="239"/>
      <c r="AQ65" s="239"/>
      <c r="AR65" s="244"/>
      <c r="AS65" s="244"/>
      <c r="AT65" s="244"/>
      <c r="AU65" s="244"/>
      <c r="AV65" s="244"/>
      <c r="AW65" s="244"/>
      <c r="AX65" s="244"/>
      <c r="AY65" s="244"/>
      <c r="AZ65" s="321" t="str">
        <f t="shared" si="37"/>
        <v> </v>
      </c>
      <c r="BA65" s="73">
        <f t="shared" si="38"/>
        <v>1</v>
      </c>
      <c r="BB65" s="322">
        <f t="shared" si="62"/>
        <v>0.0019262837237502604</v>
      </c>
      <c r="BC65" s="323">
        <f t="shared" si="51"/>
        <v>0.0019262837237502604</v>
      </c>
      <c r="BD65" s="235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319" t="str">
        <f t="shared" si="39"/>
        <v> </v>
      </c>
      <c r="BQ65" s="69">
        <f t="shared" si="63"/>
        <v>100</v>
      </c>
      <c r="BR65" s="320">
        <f t="shared" si="64"/>
        <v>100</v>
      </c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319" t="str">
        <f t="shared" si="40"/>
        <v> </v>
      </c>
      <c r="CE65" s="69">
        <f t="shared" si="65"/>
        <v>0.0019262837237502604</v>
      </c>
      <c r="CF65" s="320">
        <f t="shared" si="66"/>
        <v>0.0019262837237502604</v>
      </c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590">
        <f t="shared" si="67"/>
        <v>0.9980737162762497</v>
      </c>
      <c r="CT65" s="253">
        <f t="shared" si="68"/>
        <v>0</v>
      </c>
      <c r="CU65" s="253">
        <f t="shared" si="69"/>
        <v>0</v>
      </c>
      <c r="CV65" s="591">
        <f t="shared" si="70"/>
        <v>0</v>
      </c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I65" s="596">
        <f t="shared" si="80"/>
        <v>660.2834696077757</v>
      </c>
      <c r="EJ65" s="233">
        <f t="shared" si="71"/>
        <v>0</v>
      </c>
      <c r="EK65" s="233">
        <f t="shared" si="72"/>
        <v>0</v>
      </c>
      <c r="EL65" s="73">
        <f t="shared" si="73"/>
      </c>
      <c r="EP65" s="162">
        <f t="shared" si="74"/>
        <v>0</v>
      </c>
      <c r="EQ65" s="162">
        <f t="shared" si="81"/>
        <v>0</v>
      </c>
      <c r="ER65" s="162">
        <f t="shared" si="81"/>
        <v>0</v>
      </c>
      <c r="ES65" s="162">
        <f t="shared" si="81"/>
        <v>0</v>
      </c>
      <c r="ET65" s="162">
        <f t="shared" si="81"/>
        <v>0</v>
      </c>
      <c r="EU65" s="162">
        <f t="shared" si="81"/>
        <v>0</v>
      </c>
      <c r="EV65" s="162">
        <f t="shared" si="81"/>
        <v>0</v>
      </c>
      <c r="EW65" s="162">
        <f t="shared" si="81"/>
        <v>0</v>
      </c>
      <c r="EX65" s="162">
        <f t="shared" si="81"/>
        <v>0</v>
      </c>
      <c r="EY65" s="162">
        <f t="shared" si="81"/>
        <v>0</v>
      </c>
      <c r="EZ65" s="162">
        <f t="shared" si="81"/>
        <v>0</v>
      </c>
      <c r="FA65" s="162">
        <f t="shared" si="81"/>
        <v>0</v>
      </c>
      <c r="FB65" s="162">
        <f t="shared" si="43"/>
        <v>0</v>
      </c>
      <c r="FC65" s="162">
        <f t="shared" si="75"/>
        <v>0</v>
      </c>
      <c r="FD65" s="162">
        <f t="shared" si="44"/>
        <v>0</v>
      </c>
      <c r="FE65" s="163">
        <f t="shared" si="82"/>
        <v>100</v>
      </c>
      <c r="FF65" s="164"/>
      <c r="FG65" s="164"/>
      <c r="FH65" s="164"/>
      <c r="FI65" s="164"/>
      <c r="FJ65" s="164"/>
      <c r="FK65" s="164"/>
      <c r="FL65" s="165">
        <f t="shared" si="83"/>
        <v>114.40155717175452</v>
      </c>
      <c r="FM65" s="165">
        <f t="shared" si="84"/>
        <v>490.989900442888</v>
      </c>
      <c r="FN65" s="162">
        <f t="shared" si="85"/>
        <v>1</v>
      </c>
      <c r="FO65" s="164"/>
    </row>
    <row r="66" spans="1:171" ht="12.75">
      <c r="A66" s="239"/>
      <c r="B66" s="166" t="s">
        <v>18</v>
      </c>
      <c r="C66" s="114">
        <v>1</v>
      </c>
      <c r="D66" s="233">
        <f t="shared" si="28"/>
        <v>10</v>
      </c>
      <c r="E66" s="157">
        <v>1</v>
      </c>
      <c r="F66" s="157">
        <v>1</v>
      </c>
      <c r="G66" s="114">
        <v>1</v>
      </c>
      <c r="H66" s="114">
        <v>1</v>
      </c>
      <c r="I66" s="665">
        <f t="shared" si="29"/>
      </c>
      <c r="J66" s="464">
        <f t="shared" si="52"/>
        <v>13.20392797742734</v>
      </c>
      <c r="K66" s="195">
        <f t="shared" si="53"/>
        <v>0.0019250869560963715</v>
      </c>
      <c r="L66" s="194">
        <f t="shared" si="54"/>
        <v>0.0019250869560963715</v>
      </c>
      <c r="M66" s="71">
        <f t="shared" si="55"/>
        <v>0.9980749130439036</v>
      </c>
      <c r="N66" s="71">
        <f t="shared" si="76"/>
        <v>0</v>
      </c>
      <c r="O66" s="73">
        <f t="shared" si="77"/>
        <v>100</v>
      </c>
      <c r="P66" s="73">
        <f t="shared" si="78"/>
        <v>0</v>
      </c>
      <c r="Q66" s="73"/>
      <c r="R66" s="71">
        <f t="shared" si="56"/>
        <v>0.0019250869560963715</v>
      </c>
      <c r="S66" s="71">
        <f t="shared" si="57"/>
        <v>0</v>
      </c>
      <c r="T66" s="71">
        <f t="shared" si="79"/>
        <v>0.9980749130439036</v>
      </c>
      <c r="U66" s="601"/>
      <c r="V66" s="596">
        <f t="shared" si="86"/>
        <v>1</v>
      </c>
      <c r="W66" s="609">
        <f t="shared" si="58"/>
      </c>
      <c r="X66" s="605"/>
      <c r="Y66" s="671"/>
      <c r="Z66" s="25">
        <f t="shared" si="59"/>
        <v>-22.039624558737447</v>
      </c>
      <c r="AA66" s="25">
        <f t="shared" si="34"/>
        <v>99.02945983070505</v>
      </c>
      <c r="AB66" s="25">
        <f t="shared" si="35"/>
        <v>13.20392797742734</v>
      </c>
      <c r="AC66" s="25"/>
      <c r="AD66" s="203"/>
      <c r="AE66" s="203"/>
      <c r="AF66" s="203"/>
      <c r="AG66" s="620"/>
      <c r="AH66" s="69"/>
      <c r="AI66" s="69"/>
      <c r="AJ66" s="319" t="str">
        <f t="shared" si="36"/>
        <v> </v>
      </c>
      <c r="AK66" s="69">
        <f t="shared" si="60"/>
        <v>0</v>
      </c>
      <c r="AL66" s="320">
        <f t="shared" si="61"/>
        <v>0.9980749130439036</v>
      </c>
      <c r="AM66" s="69"/>
      <c r="AN66" s="244"/>
      <c r="AO66" s="239"/>
      <c r="AP66" s="239"/>
      <c r="AQ66" s="239"/>
      <c r="AR66" s="244"/>
      <c r="AS66" s="244"/>
      <c r="AT66" s="244"/>
      <c r="AU66" s="244"/>
      <c r="AV66" s="244"/>
      <c r="AW66" s="244"/>
      <c r="AX66" s="244"/>
      <c r="AY66" s="244"/>
      <c r="AZ66" s="321" t="str">
        <f t="shared" si="37"/>
        <v> </v>
      </c>
      <c r="BA66" s="73">
        <f t="shared" si="38"/>
        <v>1</v>
      </c>
      <c r="BB66" s="322">
        <f t="shared" si="62"/>
        <v>0.0019250869560963715</v>
      </c>
      <c r="BC66" s="323">
        <f t="shared" si="51"/>
        <v>0.0019250869560963715</v>
      </c>
      <c r="BD66" s="235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319" t="str">
        <f t="shared" si="39"/>
        <v> </v>
      </c>
      <c r="BQ66" s="69">
        <f t="shared" si="63"/>
        <v>100</v>
      </c>
      <c r="BR66" s="320">
        <f t="shared" si="64"/>
        <v>100</v>
      </c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319" t="str">
        <f t="shared" si="40"/>
        <v> </v>
      </c>
      <c r="CE66" s="69">
        <f t="shared" si="65"/>
        <v>0.0019250869560963715</v>
      </c>
      <c r="CF66" s="320">
        <f t="shared" si="66"/>
        <v>0.0019250869560963715</v>
      </c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590">
        <f t="shared" si="67"/>
        <v>0.9980749130439036</v>
      </c>
      <c r="CT66" s="253">
        <f t="shared" si="68"/>
        <v>0</v>
      </c>
      <c r="CU66" s="253">
        <f t="shared" si="69"/>
        <v>0</v>
      </c>
      <c r="CV66" s="591">
        <f t="shared" si="70"/>
        <v>0</v>
      </c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I66" s="596">
        <f t="shared" si="80"/>
        <v>660.2834696077757</v>
      </c>
      <c r="EJ66" s="233">
        <f t="shared" si="71"/>
        <v>0</v>
      </c>
      <c r="EK66" s="233">
        <f t="shared" si="72"/>
        <v>0</v>
      </c>
      <c r="EL66" s="73">
        <f t="shared" si="73"/>
      </c>
      <c r="EP66" s="162">
        <f t="shared" si="74"/>
        <v>0</v>
      </c>
      <c r="EQ66" s="162">
        <f t="shared" si="81"/>
        <v>0</v>
      </c>
      <c r="ER66" s="162">
        <f t="shared" si="81"/>
        <v>0</v>
      </c>
      <c r="ES66" s="162">
        <f t="shared" si="81"/>
        <v>0</v>
      </c>
      <c r="ET66" s="162">
        <f t="shared" si="81"/>
        <v>0</v>
      </c>
      <c r="EU66" s="162">
        <f t="shared" si="81"/>
        <v>0</v>
      </c>
      <c r="EV66" s="162">
        <f t="shared" si="81"/>
        <v>0</v>
      </c>
      <c r="EW66" s="162">
        <f t="shared" si="81"/>
        <v>0</v>
      </c>
      <c r="EX66" s="162">
        <f t="shared" si="81"/>
        <v>0</v>
      </c>
      <c r="EY66" s="162">
        <f t="shared" si="81"/>
        <v>0</v>
      </c>
      <c r="EZ66" s="162">
        <f t="shared" si="81"/>
        <v>0</v>
      </c>
      <c r="FA66" s="162">
        <f t="shared" si="81"/>
        <v>0</v>
      </c>
      <c r="FB66" s="162">
        <f t="shared" si="43"/>
        <v>0</v>
      </c>
      <c r="FC66" s="162">
        <f t="shared" si="75"/>
        <v>0</v>
      </c>
      <c r="FD66" s="162">
        <f t="shared" si="44"/>
        <v>0</v>
      </c>
      <c r="FE66" s="163">
        <f t="shared" si="82"/>
        <v>100</v>
      </c>
      <c r="FF66" s="164"/>
      <c r="FG66" s="164"/>
      <c r="FH66" s="164"/>
      <c r="FI66" s="164"/>
      <c r="FJ66" s="164"/>
      <c r="FK66" s="164"/>
      <c r="FL66" s="165">
        <f t="shared" si="83"/>
        <v>115.39963208479843</v>
      </c>
      <c r="FM66" s="165">
        <f t="shared" si="84"/>
        <v>491.9879753559319</v>
      </c>
      <c r="FN66" s="162">
        <f t="shared" si="85"/>
        <v>1</v>
      </c>
      <c r="FO66" s="164"/>
    </row>
    <row r="67" spans="1:171" ht="12.75">
      <c r="A67" s="239"/>
      <c r="B67" s="166" t="s">
        <v>18</v>
      </c>
      <c r="C67" s="114">
        <v>1</v>
      </c>
      <c r="D67" s="233">
        <f t="shared" si="28"/>
        <v>11</v>
      </c>
      <c r="E67" s="157">
        <v>1</v>
      </c>
      <c r="F67" s="157">
        <v>1</v>
      </c>
      <c r="G67" s="114">
        <v>1</v>
      </c>
      <c r="H67" s="114">
        <v>1</v>
      </c>
      <c r="I67" s="665">
        <f t="shared" si="29"/>
      </c>
      <c r="J67" s="464">
        <f t="shared" si="52"/>
        <v>13.195339505503064</v>
      </c>
      <c r="K67" s="195">
        <f t="shared" si="53"/>
        <v>0.0019238347866432745</v>
      </c>
      <c r="L67" s="194">
        <f t="shared" si="54"/>
        <v>0.0019238347866432745</v>
      </c>
      <c r="M67" s="71">
        <f t="shared" si="55"/>
        <v>0.9980761652133567</v>
      </c>
      <c r="N67" s="71">
        <f t="shared" si="76"/>
        <v>0</v>
      </c>
      <c r="O67" s="73">
        <f t="shared" si="77"/>
        <v>100</v>
      </c>
      <c r="P67" s="73">
        <f t="shared" si="78"/>
        <v>0</v>
      </c>
      <c r="Q67" s="73"/>
      <c r="R67" s="71">
        <f t="shared" si="56"/>
        <v>0.0019238347866432745</v>
      </c>
      <c r="S67" s="71">
        <f t="shared" si="57"/>
        <v>0</v>
      </c>
      <c r="T67" s="71">
        <f t="shared" si="79"/>
        <v>0.9980761652133567</v>
      </c>
      <c r="U67" s="601"/>
      <c r="V67" s="596">
        <f t="shared" si="86"/>
        <v>1</v>
      </c>
      <c r="W67" s="609">
        <f t="shared" si="58"/>
      </c>
      <c r="X67" s="605"/>
      <c r="Y67" s="671"/>
      <c r="Z67" s="25">
        <f t="shared" si="59"/>
        <v>-21.898483015897597</v>
      </c>
      <c r="AA67" s="25">
        <f t="shared" si="34"/>
        <v>98.96504629127298</v>
      </c>
      <c r="AB67" s="25">
        <f t="shared" si="35"/>
        <v>13.195339505503064</v>
      </c>
      <c r="AC67" s="25"/>
      <c r="AD67" s="203"/>
      <c r="AE67" s="203"/>
      <c r="AF67" s="203"/>
      <c r="AG67" s="620"/>
      <c r="AH67" s="69"/>
      <c r="AI67" s="69"/>
      <c r="AJ67" s="319" t="str">
        <f t="shared" si="36"/>
        <v> </v>
      </c>
      <c r="AK67" s="69">
        <f t="shared" si="60"/>
        <v>0</v>
      </c>
      <c r="AL67" s="320">
        <f t="shared" si="61"/>
        <v>0.9980761652133567</v>
      </c>
      <c r="AM67" s="69"/>
      <c r="AN67" s="244"/>
      <c r="AO67" s="239"/>
      <c r="AP67" s="239"/>
      <c r="AQ67" s="239"/>
      <c r="AR67" s="244"/>
      <c r="AS67" s="244"/>
      <c r="AT67" s="244"/>
      <c r="AU67" s="244"/>
      <c r="AV67" s="244"/>
      <c r="AW67" s="244"/>
      <c r="AX67" s="244"/>
      <c r="AY67" s="244"/>
      <c r="AZ67" s="321" t="str">
        <f t="shared" si="37"/>
        <v> </v>
      </c>
      <c r="BA67" s="73">
        <f t="shared" si="38"/>
        <v>1</v>
      </c>
      <c r="BB67" s="322">
        <f t="shared" si="62"/>
        <v>0.0019238347866432745</v>
      </c>
      <c r="BC67" s="323">
        <f t="shared" si="51"/>
        <v>0.0019238347866432745</v>
      </c>
      <c r="BD67" s="235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319" t="str">
        <f t="shared" si="39"/>
        <v> </v>
      </c>
      <c r="BQ67" s="69">
        <f t="shared" si="63"/>
        <v>100</v>
      </c>
      <c r="BR67" s="320">
        <f t="shared" si="64"/>
        <v>100</v>
      </c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319" t="str">
        <f t="shared" si="40"/>
        <v> </v>
      </c>
      <c r="CE67" s="69">
        <f t="shared" si="65"/>
        <v>0.0019238347866432745</v>
      </c>
      <c r="CF67" s="320">
        <f t="shared" si="66"/>
        <v>0.0019238347866432745</v>
      </c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590">
        <f t="shared" si="67"/>
        <v>0.9980761652133567</v>
      </c>
      <c r="CT67" s="253">
        <f t="shared" si="68"/>
        <v>0</v>
      </c>
      <c r="CU67" s="253">
        <f t="shared" si="69"/>
        <v>0</v>
      </c>
      <c r="CV67" s="591">
        <f t="shared" si="70"/>
        <v>0</v>
      </c>
      <c r="CW67" s="239"/>
      <c r="CX67" s="239"/>
      <c r="CY67" s="239"/>
      <c r="CZ67" s="239"/>
      <c r="DA67" s="239"/>
      <c r="DB67" s="239"/>
      <c r="DC67" s="239"/>
      <c r="DD67" s="239"/>
      <c r="DE67" s="239"/>
      <c r="DF67" s="239"/>
      <c r="DG67" s="239"/>
      <c r="DH67" s="239"/>
      <c r="DI67" s="239"/>
      <c r="DJ67" s="239"/>
      <c r="DK67" s="239"/>
      <c r="DL67" s="239"/>
      <c r="DM67" s="239"/>
      <c r="DN67" s="239"/>
      <c r="DO67" s="239"/>
      <c r="DP67" s="239"/>
      <c r="DQ67" s="239"/>
      <c r="DR67" s="239"/>
      <c r="DS67" s="239"/>
      <c r="DT67" s="239"/>
      <c r="DU67" s="239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I67" s="596">
        <f t="shared" si="80"/>
        <v>660.2834696077757</v>
      </c>
      <c r="EJ67" s="233">
        <f t="shared" si="71"/>
        <v>0</v>
      </c>
      <c r="EK67" s="233">
        <f t="shared" si="72"/>
        <v>0</v>
      </c>
      <c r="EL67" s="73">
        <f t="shared" si="73"/>
      </c>
      <c r="EP67" s="162">
        <f t="shared" si="74"/>
        <v>0</v>
      </c>
      <c r="EQ67" s="162">
        <f t="shared" si="81"/>
        <v>0</v>
      </c>
      <c r="ER67" s="162">
        <f t="shared" si="81"/>
        <v>0</v>
      </c>
      <c r="ES67" s="162">
        <f t="shared" si="81"/>
        <v>0</v>
      </c>
      <c r="ET67" s="162">
        <f t="shared" si="81"/>
        <v>0</v>
      </c>
      <c r="EU67" s="162">
        <f t="shared" si="81"/>
        <v>0</v>
      </c>
      <c r="EV67" s="162">
        <f t="shared" si="81"/>
        <v>0</v>
      </c>
      <c r="EW67" s="162">
        <f t="shared" si="81"/>
        <v>0</v>
      </c>
      <c r="EX67" s="162">
        <f t="shared" si="81"/>
        <v>0</v>
      </c>
      <c r="EY67" s="162">
        <f t="shared" si="81"/>
        <v>0</v>
      </c>
      <c r="EZ67" s="162">
        <f t="shared" si="81"/>
        <v>0</v>
      </c>
      <c r="FA67" s="162">
        <f t="shared" si="81"/>
        <v>0</v>
      </c>
      <c r="FB67" s="162">
        <f t="shared" si="43"/>
        <v>0</v>
      </c>
      <c r="FC67" s="162">
        <f t="shared" si="75"/>
        <v>0</v>
      </c>
      <c r="FD67" s="162">
        <f t="shared" si="44"/>
        <v>0</v>
      </c>
      <c r="FE67" s="163">
        <f t="shared" si="82"/>
        <v>100</v>
      </c>
      <c r="FF67" s="164"/>
      <c r="FG67" s="164"/>
      <c r="FH67" s="164"/>
      <c r="FI67" s="164"/>
      <c r="FJ67" s="164"/>
      <c r="FK67" s="164"/>
      <c r="FL67" s="165">
        <f t="shared" si="83"/>
        <v>116.39770825001179</v>
      </c>
      <c r="FM67" s="165">
        <f t="shared" si="84"/>
        <v>492.98605152114527</v>
      </c>
      <c r="FN67" s="162">
        <f t="shared" si="85"/>
        <v>1</v>
      </c>
      <c r="FO67" s="164"/>
    </row>
    <row r="68" spans="1:171" ht="12.75">
      <c r="A68" s="239"/>
      <c r="B68" s="166" t="s">
        <v>18</v>
      </c>
      <c r="C68" s="114">
        <v>1</v>
      </c>
      <c r="D68" s="233">
        <f t="shared" si="28"/>
        <v>12</v>
      </c>
      <c r="E68" s="157">
        <v>1</v>
      </c>
      <c r="F68" s="157">
        <v>1</v>
      </c>
      <c r="G68" s="114">
        <v>1</v>
      </c>
      <c r="H68" s="114">
        <v>1</v>
      </c>
      <c r="I68" s="665">
        <f t="shared" si="29"/>
      </c>
      <c r="J68" s="464">
        <f t="shared" si="52"/>
        <v>13.186375981383831</v>
      </c>
      <c r="K68" s="195">
        <f t="shared" si="53"/>
        <v>0.001922527935879465</v>
      </c>
      <c r="L68" s="194">
        <f t="shared" si="54"/>
        <v>0.001922527935879465</v>
      </c>
      <c r="M68" s="71">
        <f t="shared" si="55"/>
        <v>0.9980774720641206</v>
      </c>
      <c r="N68" s="71">
        <f t="shared" si="76"/>
        <v>0</v>
      </c>
      <c r="O68" s="73">
        <f t="shared" si="77"/>
        <v>100</v>
      </c>
      <c r="P68" s="73">
        <f t="shared" si="78"/>
        <v>0</v>
      </c>
      <c r="Q68" s="73"/>
      <c r="R68" s="71">
        <f t="shared" si="56"/>
        <v>0.001922527935879465</v>
      </c>
      <c r="S68" s="71">
        <f t="shared" si="57"/>
        <v>0</v>
      </c>
      <c r="T68" s="71">
        <f t="shared" si="79"/>
        <v>0.9980774720641206</v>
      </c>
      <c r="U68" s="601"/>
      <c r="V68" s="596">
        <f t="shared" si="86"/>
        <v>1</v>
      </c>
      <c r="W68" s="609">
        <f t="shared" si="58"/>
      </c>
      <c r="X68" s="605"/>
      <c r="Y68" s="671"/>
      <c r="Z68" s="25">
        <f t="shared" si="59"/>
        <v>-21.75085247993216</v>
      </c>
      <c r="AA68" s="25">
        <f t="shared" si="34"/>
        <v>98.89781986037873</v>
      </c>
      <c r="AB68" s="25">
        <f t="shared" si="35"/>
        <v>13.186375981383831</v>
      </c>
      <c r="AC68" s="25"/>
      <c r="AD68" s="203"/>
      <c r="AE68" s="203"/>
      <c r="AF68" s="203"/>
      <c r="AG68" s="620"/>
      <c r="AH68" s="69"/>
      <c r="AI68" s="69"/>
      <c r="AJ68" s="319" t="str">
        <f t="shared" si="36"/>
        <v> </v>
      </c>
      <c r="AK68" s="69">
        <f t="shared" si="60"/>
        <v>0</v>
      </c>
      <c r="AL68" s="320">
        <f t="shared" si="61"/>
        <v>0.9980774720641206</v>
      </c>
      <c r="AM68" s="69"/>
      <c r="AN68" s="244"/>
      <c r="AO68" s="239"/>
      <c r="AP68" s="239"/>
      <c r="AQ68" s="239"/>
      <c r="AR68" s="244"/>
      <c r="AS68" s="244"/>
      <c r="AT68" s="244"/>
      <c r="AU68" s="244"/>
      <c r="AV68" s="244"/>
      <c r="AW68" s="244"/>
      <c r="AX68" s="244"/>
      <c r="AY68" s="244"/>
      <c r="AZ68" s="321" t="str">
        <f t="shared" si="37"/>
        <v> </v>
      </c>
      <c r="BA68" s="73">
        <f t="shared" si="38"/>
        <v>1</v>
      </c>
      <c r="BB68" s="322">
        <f t="shared" si="62"/>
        <v>0.001922527935879465</v>
      </c>
      <c r="BC68" s="323">
        <f t="shared" si="51"/>
        <v>0.001922527935879465</v>
      </c>
      <c r="BD68" s="235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319" t="str">
        <f t="shared" si="39"/>
        <v> </v>
      </c>
      <c r="BQ68" s="69">
        <f t="shared" si="63"/>
        <v>100</v>
      </c>
      <c r="BR68" s="320">
        <f t="shared" si="64"/>
        <v>100</v>
      </c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319" t="str">
        <f t="shared" si="40"/>
        <v> </v>
      </c>
      <c r="CE68" s="69">
        <f t="shared" si="65"/>
        <v>0.001922527935879465</v>
      </c>
      <c r="CF68" s="320">
        <f t="shared" si="66"/>
        <v>0.001922527935879465</v>
      </c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590">
        <f t="shared" si="67"/>
        <v>0.9980774720641206</v>
      </c>
      <c r="CT68" s="253">
        <f t="shared" si="68"/>
        <v>0</v>
      </c>
      <c r="CU68" s="253">
        <f t="shared" si="69"/>
        <v>0</v>
      </c>
      <c r="CV68" s="591">
        <f t="shared" si="70"/>
        <v>0</v>
      </c>
      <c r="CW68" s="239"/>
      <c r="CX68" s="239"/>
      <c r="CY68" s="239"/>
      <c r="CZ68" s="239"/>
      <c r="DA68" s="239"/>
      <c r="DB68" s="239"/>
      <c r="DC68" s="239"/>
      <c r="DD68" s="239"/>
      <c r="DE68" s="239"/>
      <c r="DF68" s="239"/>
      <c r="DG68" s="239"/>
      <c r="DH68" s="239"/>
      <c r="DI68" s="239"/>
      <c r="DJ68" s="239"/>
      <c r="DK68" s="239"/>
      <c r="DL68" s="239"/>
      <c r="DM68" s="239"/>
      <c r="DN68" s="239"/>
      <c r="DO68" s="239"/>
      <c r="DP68" s="239"/>
      <c r="DQ68" s="239"/>
      <c r="DR68" s="239"/>
      <c r="DS68" s="239"/>
      <c r="DT68" s="239"/>
      <c r="DU68" s="239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I68" s="596">
        <f t="shared" si="80"/>
        <v>660.2834696077757</v>
      </c>
      <c r="EJ68" s="233">
        <f t="shared" si="71"/>
        <v>0</v>
      </c>
      <c r="EK68" s="233">
        <f t="shared" si="72"/>
        <v>0</v>
      </c>
      <c r="EL68" s="73">
        <f t="shared" si="73"/>
      </c>
      <c r="EP68" s="162">
        <f t="shared" si="74"/>
        <v>0</v>
      </c>
      <c r="EQ68" s="162">
        <f t="shared" si="81"/>
        <v>0</v>
      </c>
      <c r="ER68" s="162">
        <f t="shared" si="81"/>
        <v>0</v>
      </c>
      <c r="ES68" s="162">
        <f t="shared" si="81"/>
        <v>0</v>
      </c>
      <c r="ET68" s="162">
        <f t="shared" si="81"/>
        <v>0</v>
      </c>
      <c r="EU68" s="162">
        <f t="shared" si="81"/>
        <v>0</v>
      </c>
      <c r="EV68" s="162">
        <f t="shared" si="81"/>
        <v>0</v>
      </c>
      <c r="EW68" s="162">
        <f t="shared" si="81"/>
        <v>0</v>
      </c>
      <c r="EX68" s="162">
        <f t="shared" si="81"/>
        <v>0</v>
      </c>
      <c r="EY68" s="162">
        <f t="shared" si="81"/>
        <v>0</v>
      </c>
      <c r="EZ68" s="162">
        <f t="shared" si="81"/>
        <v>0</v>
      </c>
      <c r="FA68" s="162">
        <f t="shared" si="81"/>
        <v>0</v>
      </c>
      <c r="FB68" s="162">
        <f t="shared" si="43"/>
        <v>0</v>
      </c>
      <c r="FC68" s="162">
        <f t="shared" si="75"/>
        <v>0</v>
      </c>
      <c r="FD68" s="162">
        <f t="shared" si="44"/>
        <v>0</v>
      </c>
      <c r="FE68" s="163">
        <f t="shared" si="82"/>
        <v>100</v>
      </c>
      <c r="FF68" s="164"/>
      <c r="FG68" s="164"/>
      <c r="FH68" s="164"/>
      <c r="FI68" s="164"/>
      <c r="FJ68" s="164"/>
      <c r="FK68" s="164"/>
      <c r="FL68" s="165">
        <f t="shared" si="83"/>
        <v>117.39578572207591</v>
      </c>
      <c r="FM68" s="165">
        <f t="shared" si="84"/>
        <v>493.98412899320937</v>
      </c>
      <c r="FN68" s="162">
        <f t="shared" si="85"/>
        <v>1</v>
      </c>
      <c r="FO68" s="164"/>
    </row>
    <row r="69" spans="1:171" ht="12.75">
      <c r="A69" s="239"/>
      <c r="B69" s="166" t="s">
        <v>18</v>
      </c>
      <c r="C69" s="114">
        <v>1</v>
      </c>
      <c r="D69" s="233">
        <f t="shared" si="28"/>
        <v>13</v>
      </c>
      <c r="E69" s="157">
        <v>1</v>
      </c>
      <c r="F69" s="157">
        <v>1</v>
      </c>
      <c r="G69" s="114">
        <v>1</v>
      </c>
      <c r="H69" s="114">
        <v>1</v>
      </c>
      <c r="I69" s="665">
        <f t="shared" si="29"/>
      </c>
      <c r="J69" s="464">
        <f t="shared" si="52"/>
        <v>13.177042508923023</v>
      </c>
      <c r="K69" s="195">
        <f t="shared" si="53"/>
        <v>0.0019211671479290836</v>
      </c>
      <c r="L69" s="194">
        <f t="shared" si="54"/>
        <v>0.0019211671479290836</v>
      </c>
      <c r="M69" s="71">
        <f t="shared" si="55"/>
        <v>0.9980788328520709</v>
      </c>
      <c r="N69" s="71">
        <f t="shared" si="76"/>
        <v>0</v>
      </c>
      <c r="O69" s="73">
        <f t="shared" si="77"/>
        <v>100</v>
      </c>
      <c r="P69" s="73">
        <f t="shared" si="78"/>
        <v>0</v>
      </c>
      <c r="Q69" s="73"/>
      <c r="R69" s="71">
        <f t="shared" si="56"/>
        <v>0.0019211671479290836</v>
      </c>
      <c r="S69" s="71">
        <f t="shared" si="57"/>
        <v>0</v>
      </c>
      <c r="T69" s="71">
        <f t="shared" si="79"/>
        <v>0.9980788328520709</v>
      </c>
      <c r="U69" s="601"/>
      <c r="V69" s="596">
        <f t="shared" si="86"/>
        <v>1</v>
      </c>
      <c r="W69" s="609">
        <f t="shared" si="58"/>
      </c>
      <c r="X69" s="605"/>
      <c r="Y69" s="671"/>
      <c r="Z69" s="25">
        <f t="shared" si="59"/>
        <v>-21.596776696955082</v>
      </c>
      <c r="AA69" s="25">
        <f t="shared" si="34"/>
        <v>98.82781881692267</v>
      </c>
      <c r="AB69" s="25">
        <f t="shared" si="35"/>
        <v>13.177042508923023</v>
      </c>
      <c r="AC69" s="25"/>
      <c r="AD69" s="203"/>
      <c r="AE69" s="203"/>
      <c r="AF69" s="203"/>
      <c r="AG69" s="620"/>
      <c r="AH69" s="69"/>
      <c r="AI69" s="69"/>
      <c r="AJ69" s="319" t="str">
        <f t="shared" si="36"/>
        <v> </v>
      </c>
      <c r="AK69" s="69">
        <f t="shared" si="60"/>
        <v>0</v>
      </c>
      <c r="AL69" s="320">
        <f t="shared" si="61"/>
        <v>0.9980788328520709</v>
      </c>
      <c r="AM69" s="69"/>
      <c r="AN69" s="244"/>
      <c r="AO69" s="239"/>
      <c r="AP69" s="239"/>
      <c r="AQ69" s="239"/>
      <c r="AR69" s="244"/>
      <c r="AS69" s="244"/>
      <c r="AT69" s="244"/>
      <c r="AU69" s="244"/>
      <c r="AV69" s="244"/>
      <c r="AW69" s="244"/>
      <c r="AX69" s="244"/>
      <c r="AY69" s="244"/>
      <c r="AZ69" s="321" t="str">
        <f t="shared" si="37"/>
        <v> </v>
      </c>
      <c r="BA69" s="73">
        <f t="shared" si="38"/>
        <v>1</v>
      </c>
      <c r="BB69" s="322">
        <f t="shared" si="62"/>
        <v>0.0019211671479290836</v>
      </c>
      <c r="BC69" s="323">
        <f t="shared" si="51"/>
        <v>0.0019211671479290836</v>
      </c>
      <c r="BD69" s="235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319" t="str">
        <f t="shared" si="39"/>
        <v> </v>
      </c>
      <c r="BQ69" s="69">
        <f t="shared" si="63"/>
        <v>100</v>
      </c>
      <c r="BR69" s="320">
        <f t="shared" si="64"/>
        <v>100</v>
      </c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319" t="str">
        <f t="shared" si="40"/>
        <v> </v>
      </c>
      <c r="CE69" s="69">
        <f t="shared" si="65"/>
        <v>0.0019211671479290836</v>
      </c>
      <c r="CF69" s="320">
        <f t="shared" si="66"/>
        <v>0.0019211671479290836</v>
      </c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590">
        <f t="shared" si="67"/>
        <v>0.9980788328520709</v>
      </c>
      <c r="CT69" s="253">
        <f t="shared" si="68"/>
        <v>0</v>
      </c>
      <c r="CU69" s="253">
        <f t="shared" si="69"/>
        <v>0</v>
      </c>
      <c r="CV69" s="591">
        <f t="shared" si="70"/>
        <v>0</v>
      </c>
      <c r="CW69" s="239"/>
      <c r="CX69" s="239"/>
      <c r="CY69" s="239"/>
      <c r="CZ69" s="239"/>
      <c r="DA69" s="239"/>
      <c r="DB69" s="239"/>
      <c r="DC69" s="239"/>
      <c r="DD69" s="239"/>
      <c r="DE69" s="239"/>
      <c r="DF69" s="239"/>
      <c r="DG69" s="239"/>
      <c r="DH69" s="239"/>
      <c r="DI69" s="239"/>
      <c r="DJ69" s="239"/>
      <c r="DK69" s="239"/>
      <c r="DL69" s="239"/>
      <c r="DM69" s="239"/>
      <c r="DN69" s="239"/>
      <c r="DO69" s="239"/>
      <c r="DP69" s="239"/>
      <c r="DQ69" s="239"/>
      <c r="DR69" s="239"/>
      <c r="DS69" s="239"/>
      <c r="DT69" s="239"/>
      <c r="DU69" s="239"/>
      <c r="DV69" s="239"/>
      <c r="DW69" s="239"/>
      <c r="DX69" s="239"/>
      <c r="DY69" s="239"/>
      <c r="DZ69" s="239"/>
      <c r="EA69" s="239"/>
      <c r="EB69" s="239"/>
      <c r="EC69" s="239"/>
      <c r="ED69" s="239"/>
      <c r="EE69" s="239"/>
      <c r="EF69" s="239"/>
      <c r="EI69" s="596">
        <f t="shared" si="80"/>
        <v>660.2834696077757</v>
      </c>
      <c r="EJ69" s="233">
        <f t="shared" si="71"/>
        <v>0</v>
      </c>
      <c r="EK69" s="233">
        <f t="shared" si="72"/>
        <v>0</v>
      </c>
      <c r="EL69" s="73">
        <f t="shared" si="73"/>
      </c>
      <c r="EP69" s="162">
        <f t="shared" si="74"/>
        <v>0</v>
      </c>
      <c r="EQ69" s="162">
        <f t="shared" si="81"/>
        <v>0</v>
      </c>
      <c r="ER69" s="162">
        <f t="shared" si="81"/>
        <v>0</v>
      </c>
      <c r="ES69" s="162">
        <f t="shared" si="81"/>
        <v>0</v>
      </c>
      <c r="ET69" s="162">
        <f t="shared" si="81"/>
        <v>0</v>
      </c>
      <c r="EU69" s="162">
        <f t="shared" si="81"/>
        <v>0</v>
      </c>
      <c r="EV69" s="162">
        <f t="shared" si="81"/>
        <v>0</v>
      </c>
      <c r="EW69" s="162">
        <f t="shared" si="81"/>
        <v>0</v>
      </c>
      <c r="EX69" s="162">
        <f t="shared" si="81"/>
        <v>0</v>
      </c>
      <c r="EY69" s="162">
        <f t="shared" si="81"/>
        <v>0</v>
      </c>
      <c r="EZ69" s="162">
        <f t="shared" si="81"/>
        <v>0</v>
      </c>
      <c r="FA69" s="162">
        <f t="shared" si="81"/>
        <v>0</v>
      </c>
      <c r="FB69" s="162">
        <f t="shared" si="43"/>
        <v>0</v>
      </c>
      <c r="FC69" s="162">
        <f t="shared" si="75"/>
        <v>0</v>
      </c>
      <c r="FD69" s="162">
        <f t="shared" si="44"/>
        <v>0</v>
      </c>
      <c r="FE69" s="163">
        <f t="shared" si="82"/>
        <v>100</v>
      </c>
      <c r="FF69" s="164"/>
      <c r="FG69" s="164"/>
      <c r="FH69" s="164"/>
      <c r="FI69" s="164"/>
      <c r="FJ69" s="164"/>
      <c r="FK69" s="164"/>
      <c r="FL69" s="165">
        <f t="shared" si="83"/>
        <v>118.39386455492799</v>
      </c>
      <c r="FM69" s="165">
        <f t="shared" si="84"/>
        <v>494.9822078260614</v>
      </c>
      <c r="FN69" s="162">
        <f t="shared" si="85"/>
        <v>1</v>
      </c>
      <c r="FO69" s="164"/>
    </row>
    <row r="70" spans="1:171" ht="12.75">
      <c r="A70" s="239"/>
      <c r="B70" s="166" t="s">
        <v>18</v>
      </c>
      <c r="C70" s="114">
        <v>1</v>
      </c>
      <c r="D70" s="233">
        <f t="shared" si="28"/>
        <v>14</v>
      </c>
      <c r="E70" s="157">
        <v>1</v>
      </c>
      <c r="F70" s="157">
        <v>1</v>
      </c>
      <c r="G70" s="114">
        <v>1</v>
      </c>
      <c r="H70" s="114">
        <v>1</v>
      </c>
      <c r="I70" s="665">
        <f t="shared" si="29"/>
      </c>
      <c r="J70" s="464">
        <f t="shared" si="52"/>
        <v>13.167344344884478</v>
      </c>
      <c r="K70" s="195">
        <f t="shared" si="53"/>
        <v>0.0019197531892100872</v>
      </c>
      <c r="L70" s="194">
        <f t="shared" si="54"/>
        <v>0.0019197531892100872</v>
      </c>
      <c r="M70" s="71">
        <f t="shared" si="55"/>
        <v>0.9980802468107899</v>
      </c>
      <c r="N70" s="71">
        <f t="shared" si="76"/>
        <v>0</v>
      </c>
      <c r="O70" s="73">
        <f t="shared" si="77"/>
        <v>100</v>
      </c>
      <c r="P70" s="73">
        <f t="shared" si="78"/>
        <v>0</v>
      </c>
      <c r="Q70" s="73"/>
      <c r="R70" s="71">
        <f t="shared" si="56"/>
        <v>0.0019197531892100872</v>
      </c>
      <c r="S70" s="71">
        <f t="shared" si="57"/>
        <v>0</v>
      </c>
      <c r="T70" s="71">
        <f t="shared" si="79"/>
        <v>0.9980802468107899</v>
      </c>
      <c r="U70" s="601"/>
      <c r="V70" s="596">
        <f t="shared" si="86"/>
        <v>1</v>
      </c>
      <c r="W70" s="609">
        <f t="shared" si="58"/>
      </c>
      <c r="X70" s="605"/>
      <c r="Y70" s="671"/>
      <c r="Z70" s="25">
        <f t="shared" si="59"/>
        <v>-21.436301322946075</v>
      </c>
      <c r="AA70" s="25">
        <f t="shared" si="34"/>
        <v>98.75508258663359</v>
      </c>
      <c r="AB70" s="25">
        <f t="shared" si="35"/>
        <v>13.167344344884478</v>
      </c>
      <c r="AC70" s="25"/>
      <c r="AD70" s="203"/>
      <c r="AE70" s="203"/>
      <c r="AF70" s="203"/>
      <c r="AG70" s="620"/>
      <c r="AH70" s="69"/>
      <c r="AI70" s="69"/>
      <c r="AJ70" s="319" t="str">
        <f t="shared" si="36"/>
        <v> </v>
      </c>
      <c r="AK70" s="69">
        <f t="shared" si="60"/>
        <v>0</v>
      </c>
      <c r="AL70" s="320">
        <f t="shared" si="61"/>
        <v>0.9980802468107899</v>
      </c>
      <c r="AM70" s="69"/>
      <c r="AN70" s="244"/>
      <c r="AO70" s="239"/>
      <c r="AP70" s="239"/>
      <c r="AQ70" s="239"/>
      <c r="AR70" s="244"/>
      <c r="AS70" s="244"/>
      <c r="AT70" s="244"/>
      <c r="AU70" s="244"/>
      <c r="AV70" s="244"/>
      <c r="AW70" s="244"/>
      <c r="AX70" s="244"/>
      <c r="AY70" s="244"/>
      <c r="AZ70" s="321" t="str">
        <f t="shared" si="37"/>
        <v> </v>
      </c>
      <c r="BA70" s="73">
        <f t="shared" si="38"/>
        <v>1</v>
      </c>
      <c r="BB70" s="322">
        <f t="shared" si="62"/>
        <v>0.0019197531892100872</v>
      </c>
      <c r="BC70" s="323">
        <f t="shared" si="51"/>
        <v>0.0019197531892100872</v>
      </c>
      <c r="BD70" s="235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319" t="str">
        <f t="shared" si="39"/>
        <v> </v>
      </c>
      <c r="BQ70" s="69">
        <f t="shared" si="63"/>
        <v>100</v>
      </c>
      <c r="BR70" s="320">
        <f t="shared" si="64"/>
        <v>100</v>
      </c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319" t="str">
        <f t="shared" si="40"/>
        <v> </v>
      </c>
      <c r="CE70" s="69">
        <f t="shared" si="65"/>
        <v>0.0019197531892100872</v>
      </c>
      <c r="CF70" s="320">
        <f t="shared" si="66"/>
        <v>0.0019197531892100872</v>
      </c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590">
        <f t="shared" si="67"/>
        <v>0.9980802468107899</v>
      </c>
      <c r="CT70" s="253">
        <f t="shared" si="68"/>
        <v>0</v>
      </c>
      <c r="CU70" s="253">
        <f t="shared" si="69"/>
        <v>0</v>
      </c>
      <c r="CV70" s="591">
        <f t="shared" si="70"/>
        <v>0</v>
      </c>
      <c r="CW70" s="239"/>
      <c r="CX70" s="239"/>
      <c r="CY70" s="239"/>
      <c r="CZ70" s="239"/>
      <c r="DA70" s="239"/>
      <c r="DB70" s="239"/>
      <c r="DC70" s="239"/>
      <c r="DD70" s="239"/>
      <c r="DE70" s="239"/>
      <c r="DF70" s="239"/>
      <c r="DG70" s="239"/>
      <c r="DH70" s="239"/>
      <c r="DI70" s="239"/>
      <c r="DJ70" s="239"/>
      <c r="DK70" s="239"/>
      <c r="DL70" s="239"/>
      <c r="DM70" s="239"/>
      <c r="DN70" s="239"/>
      <c r="DO70" s="239"/>
      <c r="DP70" s="239"/>
      <c r="DQ70" s="239"/>
      <c r="DR70" s="239"/>
      <c r="DS70" s="239"/>
      <c r="DT70" s="239"/>
      <c r="DU70" s="239"/>
      <c r="DV70" s="239"/>
      <c r="DW70" s="239"/>
      <c r="DX70" s="239"/>
      <c r="DY70" s="239"/>
      <c r="DZ70" s="239"/>
      <c r="EA70" s="239"/>
      <c r="EB70" s="239"/>
      <c r="EC70" s="239"/>
      <c r="ED70" s="239"/>
      <c r="EE70" s="239"/>
      <c r="EF70" s="239"/>
      <c r="EI70" s="596">
        <f t="shared" si="80"/>
        <v>660.2834696077757</v>
      </c>
      <c r="EJ70" s="233">
        <f t="shared" si="71"/>
        <v>0</v>
      </c>
      <c r="EK70" s="233">
        <f t="shared" si="72"/>
        <v>0</v>
      </c>
      <c r="EL70" s="73">
        <f t="shared" si="73"/>
      </c>
      <c r="EP70" s="162">
        <f t="shared" si="74"/>
        <v>0</v>
      </c>
      <c r="EQ70" s="162">
        <f t="shared" si="81"/>
        <v>0</v>
      </c>
      <c r="ER70" s="162">
        <f t="shared" si="81"/>
        <v>0</v>
      </c>
      <c r="ES70" s="162">
        <f t="shared" si="81"/>
        <v>0</v>
      </c>
      <c r="ET70" s="162">
        <f t="shared" si="81"/>
        <v>0</v>
      </c>
      <c r="EU70" s="162">
        <f t="shared" si="81"/>
        <v>0</v>
      </c>
      <c r="EV70" s="162">
        <f t="shared" si="81"/>
        <v>0</v>
      </c>
      <c r="EW70" s="162">
        <f t="shared" si="81"/>
        <v>0</v>
      </c>
      <c r="EX70" s="162">
        <f t="shared" si="81"/>
        <v>0</v>
      </c>
      <c r="EY70" s="162">
        <f t="shared" si="81"/>
        <v>0</v>
      </c>
      <c r="EZ70" s="162">
        <f t="shared" si="81"/>
        <v>0</v>
      </c>
      <c r="FA70" s="162">
        <f t="shared" si="81"/>
        <v>0</v>
      </c>
      <c r="FB70" s="162">
        <f t="shared" si="43"/>
        <v>0</v>
      </c>
      <c r="FC70" s="162">
        <f t="shared" si="75"/>
        <v>0</v>
      </c>
      <c r="FD70" s="162">
        <f t="shared" si="44"/>
        <v>0</v>
      </c>
      <c r="FE70" s="163">
        <f t="shared" si="82"/>
        <v>100</v>
      </c>
      <c r="FF70" s="164"/>
      <c r="FG70" s="164"/>
      <c r="FH70" s="164"/>
      <c r="FI70" s="164"/>
      <c r="FJ70" s="164"/>
      <c r="FK70" s="164"/>
      <c r="FL70" s="165">
        <f t="shared" si="83"/>
        <v>119.39194480173877</v>
      </c>
      <c r="FM70" s="165">
        <f t="shared" si="84"/>
        <v>495.9802880728722</v>
      </c>
      <c r="FN70" s="162">
        <f t="shared" si="85"/>
        <v>1</v>
      </c>
      <c r="FO70" s="164"/>
    </row>
    <row r="71" spans="1:171" ht="12.75">
      <c r="A71" s="239"/>
      <c r="B71" s="166" t="s">
        <v>18</v>
      </c>
      <c r="C71" s="114">
        <v>1</v>
      </c>
      <c r="D71" s="233">
        <f t="shared" si="28"/>
        <v>15</v>
      </c>
      <c r="E71" s="157">
        <v>1</v>
      </c>
      <c r="F71" s="157">
        <v>1</v>
      </c>
      <c r="G71" s="114">
        <v>1</v>
      </c>
      <c r="H71" s="114">
        <v>1</v>
      </c>
      <c r="I71" s="665">
        <f t="shared" si="29"/>
      </c>
      <c r="J71" s="464">
        <f t="shared" si="52"/>
        <v>13.157286889631212</v>
      </c>
      <c r="K71" s="195">
        <f t="shared" si="53"/>
        <v>0.0019182868470766943</v>
      </c>
      <c r="L71" s="194">
        <f t="shared" si="54"/>
        <v>0.0019182868470766943</v>
      </c>
      <c r="M71" s="71">
        <f t="shared" si="55"/>
        <v>0.9980817131529233</v>
      </c>
      <c r="N71" s="71">
        <f t="shared" si="76"/>
        <v>0</v>
      </c>
      <c r="O71" s="73">
        <f t="shared" si="77"/>
        <v>100</v>
      </c>
      <c r="P71" s="73">
        <f t="shared" si="78"/>
        <v>0</v>
      </c>
      <c r="Q71" s="73"/>
      <c r="R71" s="71">
        <f t="shared" si="56"/>
        <v>0.0019182868470766943</v>
      </c>
      <c r="S71" s="71">
        <f t="shared" si="57"/>
        <v>0</v>
      </c>
      <c r="T71" s="71">
        <f t="shared" si="79"/>
        <v>0.9980817131529233</v>
      </c>
      <c r="U71" s="601"/>
      <c r="V71" s="596">
        <f t="shared" si="86"/>
        <v>1</v>
      </c>
      <c r="W71" s="609">
        <f t="shared" si="58"/>
      </c>
      <c r="X71" s="605"/>
      <c r="Y71" s="671"/>
      <c r="Z71" s="25">
        <f t="shared" si="59"/>
        <v>-21.269473910221812</v>
      </c>
      <c r="AA71" s="25">
        <f t="shared" si="34"/>
        <v>98.67965167223409</v>
      </c>
      <c r="AB71" s="25">
        <f t="shared" si="35"/>
        <v>13.157286889631212</v>
      </c>
      <c r="AC71" s="25"/>
      <c r="AD71" s="203"/>
      <c r="AE71" s="203"/>
      <c r="AF71" s="203"/>
      <c r="AG71" s="620"/>
      <c r="AH71" s="69"/>
      <c r="AI71" s="69"/>
      <c r="AJ71" s="319" t="str">
        <f t="shared" si="36"/>
        <v> </v>
      </c>
      <c r="AK71" s="69">
        <f t="shared" si="60"/>
        <v>0</v>
      </c>
      <c r="AL71" s="320">
        <f t="shared" si="61"/>
        <v>0.9980817131529233</v>
      </c>
      <c r="AM71" s="69"/>
      <c r="AN71" s="244"/>
      <c r="AO71" s="239"/>
      <c r="AP71" s="239"/>
      <c r="AQ71" s="239"/>
      <c r="AR71" s="244"/>
      <c r="AS71" s="244"/>
      <c r="AT71" s="244"/>
      <c r="AU71" s="244"/>
      <c r="AV71" s="244"/>
      <c r="AW71" s="244"/>
      <c r="AX71" s="244"/>
      <c r="AY71" s="244"/>
      <c r="AZ71" s="321" t="str">
        <f t="shared" si="37"/>
        <v> </v>
      </c>
      <c r="BA71" s="73">
        <f t="shared" si="38"/>
        <v>1</v>
      </c>
      <c r="BB71" s="322">
        <f t="shared" si="62"/>
        <v>0.0019182868470766943</v>
      </c>
      <c r="BC71" s="323">
        <f t="shared" si="51"/>
        <v>0.0019182868470766943</v>
      </c>
      <c r="BD71" s="235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319" t="str">
        <f t="shared" si="39"/>
        <v> </v>
      </c>
      <c r="BQ71" s="69">
        <f t="shared" si="63"/>
        <v>100</v>
      </c>
      <c r="BR71" s="320">
        <f t="shared" si="64"/>
        <v>100</v>
      </c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319" t="str">
        <f t="shared" si="40"/>
        <v> </v>
      </c>
      <c r="CE71" s="69">
        <f t="shared" si="65"/>
        <v>0.0019182868470766943</v>
      </c>
      <c r="CF71" s="320">
        <f t="shared" si="66"/>
        <v>0.0019182868470766943</v>
      </c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590">
        <f t="shared" si="67"/>
        <v>0.9980817131529233</v>
      </c>
      <c r="CT71" s="253">
        <f t="shared" si="68"/>
        <v>0</v>
      </c>
      <c r="CU71" s="253">
        <f t="shared" si="69"/>
        <v>0</v>
      </c>
      <c r="CV71" s="591">
        <f t="shared" si="70"/>
        <v>0</v>
      </c>
      <c r="CW71" s="239"/>
      <c r="CX71" s="239"/>
      <c r="CY71" s="239"/>
      <c r="CZ71" s="239"/>
      <c r="DA71" s="239"/>
      <c r="DB71" s="239"/>
      <c r="DC71" s="239"/>
      <c r="DD71" s="239"/>
      <c r="DE71" s="239"/>
      <c r="DF71" s="239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I71" s="596">
        <f t="shared" si="80"/>
        <v>660.2834696077757</v>
      </c>
      <c r="EJ71" s="233">
        <f t="shared" si="71"/>
        <v>0</v>
      </c>
      <c r="EK71" s="233">
        <f t="shared" si="72"/>
        <v>0</v>
      </c>
      <c r="EL71" s="73">
        <f t="shared" si="73"/>
      </c>
      <c r="EP71" s="162">
        <f t="shared" si="74"/>
        <v>0</v>
      </c>
      <c r="EQ71" s="162">
        <f aca="true" t="shared" si="87" ref="EQ71:FA86">IF(AND(EP70=1,EP71=0),1,0)</f>
        <v>0</v>
      </c>
      <c r="ER71" s="162">
        <f t="shared" si="87"/>
        <v>0</v>
      </c>
      <c r="ES71" s="162">
        <f t="shared" si="87"/>
        <v>0</v>
      </c>
      <c r="ET71" s="162">
        <f t="shared" si="87"/>
        <v>0</v>
      </c>
      <c r="EU71" s="162">
        <f t="shared" si="87"/>
        <v>0</v>
      </c>
      <c r="EV71" s="162">
        <f t="shared" si="87"/>
        <v>0</v>
      </c>
      <c r="EW71" s="162">
        <f t="shared" si="87"/>
        <v>0</v>
      </c>
      <c r="EX71" s="162">
        <f t="shared" si="87"/>
        <v>0</v>
      </c>
      <c r="EY71" s="162">
        <f t="shared" si="87"/>
        <v>0</v>
      </c>
      <c r="EZ71" s="162">
        <f t="shared" si="87"/>
        <v>0</v>
      </c>
      <c r="FA71" s="162">
        <f t="shared" si="87"/>
        <v>0</v>
      </c>
      <c r="FB71" s="162">
        <f t="shared" si="43"/>
        <v>0</v>
      </c>
      <c r="FC71" s="162">
        <f t="shared" si="75"/>
        <v>0</v>
      </c>
      <c r="FD71" s="162">
        <f t="shared" si="44"/>
        <v>0</v>
      </c>
      <c r="FE71" s="163">
        <f t="shared" si="82"/>
        <v>100</v>
      </c>
      <c r="FF71" s="164"/>
      <c r="FG71" s="164"/>
      <c r="FH71" s="164"/>
      <c r="FI71" s="164"/>
      <c r="FJ71" s="164"/>
      <c r="FK71" s="164"/>
      <c r="FL71" s="165">
        <f t="shared" si="83"/>
        <v>120.3900265148917</v>
      </c>
      <c r="FM71" s="165">
        <f t="shared" si="84"/>
        <v>496.97836978602516</v>
      </c>
      <c r="FN71" s="162">
        <f t="shared" si="85"/>
        <v>1</v>
      </c>
      <c r="FO71" s="164"/>
    </row>
    <row r="72" spans="1:171" ht="12.75">
      <c r="A72" s="239"/>
      <c r="B72" s="166" t="s">
        <v>18</v>
      </c>
      <c r="C72" s="114">
        <v>1</v>
      </c>
      <c r="D72" s="233">
        <f t="shared" si="28"/>
        <v>16</v>
      </c>
      <c r="E72" s="157">
        <v>1</v>
      </c>
      <c r="F72" s="157">
        <v>1</v>
      </c>
      <c r="G72" s="114">
        <v>1</v>
      </c>
      <c r="H72" s="114">
        <v>1</v>
      </c>
      <c r="I72" s="665">
        <f t="shared" si="29"/>
      </c>
      <c r="J72" s="464">
        <f t="shared" si="52"/>
        <v>13.14687567773828</v>
      </c>
      <c r="K72" s="195">
        <f t="shared" si="53"/>
        <v>0.0019167689284507745</v>
      </c>
      <c r="L72" s="194">
        <f t="shared" si="54"/>
        <v>0.0019167689284507745</v>
      </c>
      <c r="M72" s="71">
        <f t="shared" si="55"/>
        <v>0.9980832310715492</v>
      </c>
      <c r="N72" s="71">
        <f t="shared" si="76"/>
        <v>0</v>
      </c>
      <c r="O72" s="73">
        <f t="shared" si="77"/>
        <v>100</v>
      </c>
      <c r="P72" s="73">
        <f t="shared" si="78"/>
        <v>0</v>
      </c>
      <c r="Q72" s="73"/>
      <c r="R72" s="71">
        <f t="shared" si="56"/>
        <v>0.0019167689284507745</v>
      </c>
      <c r="S72" s="71">
        <f t="shared" si="57"/>
        <v>0</v>
      </c>
      <c r="T72" s="71">
        <f t="shared" si="79"/>
        <v>0.9980832310715492</v>
      </c>
      <c r="U72" s="601"/>
      <c r="V72" s="596">
        <f t="shared" si="86"/>
        <v>1</v>
      </c>
      <c r="W72" s="609">
        <f t="shared" si="58"/>
      </c>
      <c r="X72" s="605"/>
      <c r="Y72" s="671"/>
      <c r="Z72" s="25">
        <f t="shared" si="59"/>
        <v>-21.096343893345107</v>
      </c>
      <c r="AA72" s="25">
        <f t="shared" si="34"/>
        <v>98.6015675830371</v>
      </c>
      <c r="AB72" s="25">
        <f t="shared" si="35"/>
        <v>13.14687567773828</v>
      </c>
      <c r="AC72" s="25"/>
      <c r="AD72" s="203"/>
      <c r="AE72" s="203"/>
      <c r="AF72" s="203"/>
      <c r="AG72" s="620"/>
      <c r="AH72" s="69"/>
      <c r="AI72" s="69"/>
      <c r="AJ72" s="319" t="str">
        <f t="shared" si="36"/>
        <v> </v>
      </c>
      <c r="AK72" s="69">
        <f t="shared" si="60"/>
        <v>0</v>
      </c>
      <c r="AL72" s="320">
        <f t="shared" si="61"/>
        <v>0.9980832310715492</v>
      </c>
      <c r="AM72" s="69"/>
      <c r="AN72" s="244"/>
      <c r="AO72" s="239"/>
      <c r="AP72" s="239"/>
      <c r="AQ72" s="239"/>
      <c r="AR72" s="244"/>
      <c r="AS72" s="244"/>
      <c r="AT72" s="244"/>
      <c r="AU72" s="244"/>
      <c r="AV72" s="244"/>
      <c r="AW72" s="244"/>
      <c r="AX72" s="244"/>
      <c r="AY72" s="244"/>
      <c r="AZ72" s="321" t="str">
        <f t="shared" si="37"/>
        <v> </v>
      </c>
      <c r="BA72" s="73">
        <f t="shared" si="38"/>
        <v>1</v>
      </c>
      <c r="BB72" s="322">
        <f t="shared" si="62"/>
        <v>0.0019167689284507745</v>
      </c>
      <c r="BC72" s="323">
        <f t="shared" si="51"/>
        <v>0.0019167689284507745</v>
      </c>
      <c r="BD72" s="235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319" t="str">
        <f t="shared" si="39"/>
        <v> </v>
      </c>
      <c r="BQ72" s="69">
        <f t="shared" si="63"/>
        <v>100</v>
      </c>
      <c r="BR72" s="320">
        <f t="shared" si="64"/>
        <v>100</v>
      </c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319" t="str">
        <f t="shared" si="40"/>
        <v> </v>
      </c>
      <c r="CE72" s="69">
        <f t="shared" si="65"/>
        <v>0.0019167689284507745</v>
      </c>
      <c r="CF72" s="320">
        <f t="shared" si="66"/>
        <v>0.0019167689284507745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590">
        <f t="shared" si="67"/>
        <v>0.9980832310715492</v>
      </c>
      <c r="CT72" s="253">
        <f t="shared" si="68"/>
        <v>0</v>
      </c>
      <c r="CU72" s="253">
        <f t="shared" si="69"/>
        <v>0</v>
      </c>
      <c r="CV72" s="591">
        <f t="shared" si="70"/>
        <v>0</v>
      </c>
      <c r="CW72" s="239"/>
      <c r="CX72" s="239"/>
      <c r="CY72" s="239"/>
      <c r="CZ72" s="239"/>
      <c r="DA72" s="239"/>
      <c r="DB72" s="239"/>
      <c r="DC72" s="239"/>
      <c r="DD72" s="239"/>
      <c r="DE72" s="239"/>
      <c r="DF72" s="239"/>
      <c r="DG72" s="239"/>
      <c r="DH72" s="239"/>
      <c r="DI72" s="239"/>
      <c r="DJ72" s="239"/>
      <c r="DK72" s="239"/>
      <c r="DL72" s="239"/>
      <c r="DM72" s="239"/>
      <c r="DN72" s="239"/>
      <c r="DO72" s="239"/>
      <c r="DP72" s="239"/>
      <c r="DQ72" s="239"/>
      <c r="DR72" s="239"/>
      <c r="DS72" s="239"/>
      <c r="DT72" s="239"/>
      <c r="DU72" s="239"/>
      <c r="DV72" s="239"/>
      <c r="DW72" s="239"/>
      <c r="DX72" s="239"/>
      <c r="DY72" s="239"/>
      <c r="DZ72" s="239"/>
      <c r="EA72" s="239"/>
      <c r="EB72" s="239"/>
      <c r="EC72" s="239"/>
      <c r="ED72" s="239"/>
      <c r="EE72" s="239"/>
      <c r="EF72" s="239"/>
      <c r="EI72" s="596">
        <f t="shared" si="80"/>
        <v>660.2834696077757</v>
      </c>
      <c r="EJ72" s="233">
        <f t="shared" si="71"/>
        <v>0</v>
      </c>
      <c r="EK72" s="233">
        <f t="shared" si="72"/>
        <v>0</v>
      </c>
      <c r="EL72" s="73">
        <f t="shared" si="73"/>
      </c>
      <c r="EP72" s="162">
        <f t="shared" si="74"/>
        <v>0</v>
      </c>
      <c r="EQ72" s="162">
        <f t="shared" si="87"/>
        <v>0</v>
      </c>
      <c r="ER72" s="162">
        <f t="shared" si="87"/>
        <v>0</v>
      </c>
      <c r="ES72" s="162">
        <f t="shared" si="87"/>
        <v>0</v>
      </c>
      <c r="ET72" s="162">
        <f t="shared" si="87"/>
        <v>0</v>
      </c>
      <c r="EU72" s="162">
        <f t="shared" si="87"/>
        <v>0</v>
      </c>
      <c r="EV72" s="162">
        <f t="shared" si="87"/>
        <v>0</v>
      </c>
      <c r="EW72" s="162">
        <f t="shared" si="87"/>
        <v>0</v>
      </c>
      <c r="EX72" s="162">
        <f t="shared" si="87"/>
        <v>0</v>
      </c>
      <c r="EY72" s="162">
        <f t="shared" si="87"/>
        <v>0</v>
      </c>
      <c r="EZ72" s="162">
        <f t="shared" si="87"/>
        <v>0</v>
      </c>
      <c r="FA72" s="162">
        <f t="shared" si="87"/>
        <v>0</v>
      </c>
      <c r="FB72" s="162">
        <f t="shared" si="43"/>
        <v>0</v>
      </c>
      <c r="FC72" s="162">
        <f t="shared" si="75"/>
        <v>0</v>
      </c>
      <c r="FD72" s="162">
        <f t="shared" si="44"/>
        <v>0</v>
      </c>
      <c r="FE72" s="163">
        <f t="shared" si="82"/>
        <v>100</v>
      </c>
      <c r="FF72" s="164"/>
      <c r="FG72" s="164"/>
      <c r="FH72" s="164"/>
      <c r="FI72" s="164"/>
      <c r="FJ72" s="164"/>
      <c r="FK72" s="164"/>
      <c r="FL72" s="165">
        <f t="shared" si="83"/>
        <v>121.38810974596325</v>
      </c>
      <c r="FM72" s="165">
        <f t="shared" si="84"/>
        <v>497.97645301709673</v>
      </c>
      <c r="FN72" s="162">
        <f t="shared" si="85"/>
        <v>1</v>
      </c>
      <c r="FO72" s="164"/>
    </row>
    <row r="73" spans="1:171" ht="12.75">
      <c r="A73" s="239"/>
      <c r="B73" s="166" t="s">
        <v>18</v>
      </c>
      <c r="C73" s="114">
        <v>1</v>
      </c>
      <c r="D73" s="233">
        <f t="shared" si="28"/>
        <v>17</v>
      </c>
      <c r="E73" s="157">
        <v>1</v>
      </c>
      <c r="F73" s="157">
        <v>1</v>
      </c>
      <c r="G73" s="114">
        <v>1</v>
      </c>
      <c r="H73" s="114">
        <v>1</v>
      </c>
      <c r="I73" s="665">
        <f t="shared" si="29"/>
      </c>
      <c r="J73" s="464">
        <f t="shared" si="52"/>
        <v>13.136116368561323</v>
      </c>
      <c r="K73" s="195">
        <f t="shared" si="53"/>
        <v>0.0019152002584467743</v>
      </c>
      <c r="L73" s="194">
        <f t="shared" si="54"/>
        <v>0.0019152002584467743</v>
      </c>
      <c r="M73" s="71">
        <f t="shared" si="55"/>
        <v>0.9980847997415532</v>
      </c>
      <c r="N73" s="71">
        <f t="shared" si="76"/>
        <v>0</v>
      </c>
      <c r="O73" s="73">
        <f t="shared" si="77"/>
        <v>100</v>
      </c>
      <c r="P73" s="73">
        <f t="shared" si="78"/>
        <v>0</v>
      </c>
      <c r="Q73" s="73"/>
      <c r="R73" s="71">
        <f t="shared" si="56"/>
        <v>0.0019152002584467743</v>
      </c>
      <c r="S73" s="71">
        <f t="shared" si="57"/>
        <v>0</v>
      </c>
      <c r="T73" s="71">
        <f t="shared" si="79"/>
        <v>0.9980847997415532</v>
      </c>
      <c r="U73" s="601"/>
      <c r="V73" s="596">
        <f t="shared" si="86"/>
        <v>1</v>
      </c>
      <c r="W73" s="609">
        <f t="shared" si="58"/>
      </c>
      <c r="X73" s="605"/>
      <c r="Y73" s="671"/>
      <c r="Z73" s="25">
        <f t="shared" si="59"/>
        <v>-20.91696257447641</v>
      </c>
      <c r="AA73" s="25">
        <f t="shared" si="34"/>
        <v>98.52087276420993</v>
      </c>
      <c r="AB73" s="25">
        <f t="shared" si="35"/>
        <v>13.136116368561323</v>
      </c>
      <c r="AC73" s="25"/>
      <c r="AD73" s="203"/>
      <c r="AE73" s="203"/>
      <c r="AF73" s="203"/>
      <c r="AG73" s="620"/>
      <c r="AH73" s="69"/>
      <c r="AI73" s="69"/>
      <c r="AJ73" s="319" t="str">
        <f t="shared" si="36"/>
        <v> </v>
      </c>
      <c r="AK73" s="69">
        <f t="shared" si="60"/>
        <v>0</v>
      </c>
      <c r="AL73" s="320">
        <f t="shared" si="61"/>
        <v>0.9980847997415532</v>
      </c>
      <c r="AM73" s="69"/>
      <c r="AN73" s="244"/>
      <c r="AO73" s="239"/>
      <c r="AP73" s="239"/>
      <c r="AQ73" s="239"/>
      <c r="AR73" s="244"/>
      <c r="AS73" s="244"/>
      <c r="AT73" s="244"/>
      <c r="AU73" s="244"/>
      <c r="AV73" s="244"/>
      <c r="AW73" s="244"/>
      <c r="AX73" s="244"/>
      <c r="AY73" s="244"/>
      <c r="AZ73" s="321" t="str">
        <f t="shared" si="37"/>
        <v> </v>
      </c>
      <c r="BA73" s="73">
        <f t="shared" si="38"/>
        <v>1</v>
      </c>
      <c r="BB73" s="322">
        <f t="shared" si="62"/>
        <v>0.0019152002584467743</v>
      </c>
      <c r="BC73" s="323">
        <f t="shared" si="51"/>
        <v>0.0019152002584467743</v>
      </c>
      <c r="BD73" s="235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319" t="str">
        <f t="shared" si="39"/>
        <v> </v>
      </c>
      <c r="BQ73" s="69">
        <f t="shared" si="63"/>
        <v>100</v>
      </c>
      <c r="BR73" s="320">
        <f t="shared" si="64"/>
        <v>100</v>
      </c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319" t="str">
        <f t="shared" si="40"/>
        <v> </v>
      </c>
      <c r="CE73" s="69">
        <f t="shared" si="65"/>
        <v>0.0019152002584467743</v>
      </c>
      <c r="CF73" s="320">
        <f t="shared" si="66"/>
        <v>0.0019152002584467743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590">
        <f t="shared" si="67"/>
        <v>0.9980847997415532</v>
      </c>
      <c r="CT73" s="253">
        <f t="shared" si="68"/>
        <v>0</v>
      </c>
      <c r="CU73" s="253">
        <f t="shared" si="69"/>
        <v>0</v>
      </c>
      <c r="CV73" s="591">
        <f t="shared" si="70"/>
        <v>0</v>
      </c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I73" s="596">
        <f t="shared" si="80"/>
        <v>660.2834696077757</v>
      </c>
      <c r="EJ73" s="233">
        <f t="shared" si="71"/>
        <v>0</v>
      </c>
      <c r="EK73" s="233">
        <f t="shared" si="72"/>
        <v>0</v>
      </c>
      <c r="EL73" s="73">
        <f t="shared" si="73"/>
      </c>
      <c r="EP73" s="162">
        <f t="shared" si="74"/>
        <v>0</v>
      </c>
      <c r="EQ73" s="162">
        <f t="shared" si="87"/>
        <v>0</v>
      </c>
      <c r="ER73" s="162">
        <f t="shared" si="87"/>
        <v>0</v>
      </c>
      <c r="ES73" s="162">
        <f t="shared" si="87"/>
        <v>0</v>
      </c>
      <c r="ET73" s="162">
        <f t="shared" si="87"/>
        <v>0</v>
      </c>
      <c r="EU73" s="162">
        <f t="shared" si="87"/>
        <v>0</v>
      </c>
      <c r="EV73" s="162">
        <f t="shared" si="87"/>
        <v>0</v>
      </c>
      <c r="EW73" s="162">
        <f t="shared" si="87"/>
        <v>0</v>
      </c>
      <c r="EX73" s="162">
        <f t="shared" si="87"/>
        <v>0</v>
      </c>
      <c r="EY73" s="162">
        <f t="shared" si="87"/>
        <v>0</v>
      </c>
      <c r="EZ73" s="162">
        <f t="shared" si="87"/>
        <v>0</v>
      </c>
      <c r="FA73" s="162">
        <f t="shared" si="87"/>
        <v>0</v>
      </c>
      <c r="FB73" s="162">
        <f t="shared" si="43"/>
        <v>0</v>
      </c>
      <c r="FC73" s="162">
        <f t="shared" si="75"/>
        <v>0</v>
      </c>
      <c r="FD73" s="162">
        <f t="shared" si="44"/>
        <v>0</v>
      </c>
      <c r="FE73" s="163">
        <f t="shared" si="82"/>
        <v>100</v>
      </c>
      <c r="FF73" s="164"/>
      <c r="FG73" s="164"/>
      <c r="FH73" s="164"/>
      <c r="FI73" s="164"/>
      <c r="FJ73" s="164"/>
      <c r="FK73" s="164"/>
      <c r="FL73" s="165">
        <f t="shared" si="83"/>
        <v>122.3861945457048</v>
      </c>
      <c r="FM73" s="165">
        <f t="shared" si="84"/>
        <v>498.9745378168383</v>
      </c>
      <c r="FN73" s="162">
        <f t="shared" si="85"/>
        <v>1</v>
      </c>
      <c r="FO73" s="164"/>
    </row>
    <row r="74" spans="1:171" ht="12.75">
      <c r="A74" s="239"/>
      <c r="B74" s="166" t="s">
        <v>18</v>
      </c>
      <c r="C74" s="114">
        <v>1</v>
      </c>
      <c r="D74" s="233">
        <f t="shared" si="28"/>
        <v>18</v>
      </c>
      <c r="E74" s="157">
        <v>1</v>
      </c>
      <c r="F74" s="157">
        <v>1</v>
      </c>
      <c r="G74" s="114">
        <v>1</v>
      </c>
      <c r="H74" s="114">
        <v>1</v>
      </c>
      <c r="I74" s="665">
        <f t="shared" si="29"/>
      </c>
      <c r="J74" s="464">
        <f t="shared" si="52"/>
        <v>13.12501473679162</v>
      </c>
      <c r="K74" s="195">
        <f t="shared" si="53"/>
        <v>0.0019135816789946768</v>
      </c>
      <c r="L74" s="194">
        <f t="shared" si="54"/>
        <v>0.0019135816789946768</v>
      </c>
      <c r="M74" s="71">
        <f t="shared" si="55"/>
        <v>0.9980864183210053</v>
      </c>
      <c r="N74" s="71">
        <f t="shared" si="76"/>
        <v>0</v>
      </c>
      <c r="O74" s="73">
        <f t="shared" si="77"/>
        <v>100</v>
      </c>
      <c r="P74" s="73">
        <f t="shared" si="78"/>
        <v>0</v>
      </c>
      <c r="Q74" s="73"/>
      <c r="R74" s="71">
        <f t="shared" si="56"/>
        <v>0.0019135816789946768</v>
      </c>
      <c r="S74" s="71">
        <f t="shared" si="57"/>
        <v>0</v>
      </c>
      <c r="T74" s="71">
        <f t="shared" si="79"/>
        <v>0.9980864183210053</v>
      </c>
      <c r="U74" s="601"/>
      <c r="V74" s="596">
        <f t="shared" si="86"/>
        <v>1</v>
      </c>
      <c r="W74" s="609">
        <f t="shared" si="58"/>
      </c>
      <c r="X74" s="605"/>
      <c r="Y74" s="671"/>
      <c r="Z74" s="25">
        <f t="shared" si="59"/>
        <v>-20.731383108171876</v>
      </c>
      <c r="AA74" s="25">
        <f t="shared" si="34"/>
        <v>98.43761052593715</v>
      </c>
      <c r="AB74" s="25">
        <f t="shared" si="35"/>
        <v>13.12501473679162</v>
      </c>
      <c r="AC74" s="25"/>
      <c r="AD74" s="203"/>
      <c r="AE74" s="203"/>
      <c r="AF74" s="203"/>
      <c r="AG74" s="620"/>
      <c r="AH74" s="69"/>
      <c r="AI74" s="69"/>
      <c r="AJ74" s="319" t="str">
        <f t="shared" si="36"/>
        <v> </v>
      </c>
      <c r="AK74" s="69">
        <f t="shared" si="60"/>
        <v>0</v>
      </c>
      <c r="AL74" s="320">
        <f t="shared" si="61"/>
        <v>0.9980864183210053</v>
      </c>
      <c r="AM74" s="69"/>
      <c r="AN74" s="244"/>
      <c r="AO74" s="239"/>
      <c r="AP74" s="239"/>
      <c r="AQ74" s="239"/>
      <c r="AR74" s="244"/>
      <c r="AS74" s="244"/>
      <c r="AT74" s="244"/>
      <c r="AU74" s="244"/>
      <c r="AV74" s="244"/>
      <c r="AW74" s="244"/>
      <c r="AX74" s="244"/>
      <c r="AY74" s="244"/>
      <c r="AZ74" s="321" t="str">
        <f t="shared" si="37"/>
        <v> </v>
      </c>
      <c r="BA74" s="73">
        <f t="shared" si="38"/>
        <v>1</v>
      </c>
      <c r="BB74" s="322">
        <f t="shared" si="62"/>
        <v>0.0019135816789946768</v>
      </c>
      <c r="BC74" s="323">
        <f t="shared" si="51"/>
        <v>0.0019135816789946768</v>
      </c>
      <c r="BD74" s="235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319" t="str">
        <f t="shared" si="39"/>
        <v> </v>
      </c>
      <c r="BQ74" s="69">
        <f t="shared" si="63"/>
        <v>100</v>
      </c>
      <c r="BR74" s="320">
        <f t="shared" si="64"/>
        <v>100</v>
      </c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319" t="str">
        <f t="shared" si="40"/>
        <v> </v>
      </c>
      <c r="CE74" s="69">
        <f t="shared" si="65"/>
        <v>0.0019135816789946768</v>
      </c>
      <c r="CF74" s="320">
        <f t="shared" si="66"/>
        <v>0.0019135816789946768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39"/>
      <c r="CS74" s="590">
        <f t="shared" si="67"/>
        <v>0.9980864183210053</v>
      </c>
      <c r="CT74" s="253">
        <f t="shared" si="68"/>
        <v>0</v>
      </c>
      <c r="CU74" s="253">
        <f t="shared" si="69"/>
        <v>0</v>
      </c>
      <c r="CV74" s="591">
        <f t="shared" si="70"/>
        <v>0</v>
      </c>
      <c r="CW74" s="239"/>
      <c r="CX74" s="239"/>
      <c r="CY74" s="239"/>
      <c r="CZ74" s="239"/>
      <c r="DA74" s="239"/>
      <c r="DB74" s="239"/>
      <c r="DC74" s="239"/>
      <c r="DD74" s="239"/>
      <c r="DE74" s="239"/>
      <c r="DF74" s="239"/>
      <c r="DG74" s="239"/>
      <c r="DH74" s="239"/>
      <c r="DI74" s="239"/>
      <c r="DJ74" s="239"/>
      <c r="DK74" s="239"/>
      <c r="DL74" s="239"/>
      <c r="DM74" s="239"/>
      <c r="DN74" s="239"/>
      <c r="DO74" s="239"/>
      <c r="DP74" s="239"/>
      <c r="DQ74" s="239"/>
      <c r="DR74" s="239"/>
      <c r="DS74" s="239"/>
      <c r="DT74" s="239"/>
      <c r="DU74" s="239"/>
      <c r="DV74" s="239"/>
      <c r="DW74" s="239"/>
      <c r="DX74" s="239"/>
      <c r="DY74" s="239"/>
      <c r="DZ74" s="239"/>
      <c r="EA74" s="239"/>
      <c r="EB74" s="239"/>
      <c r="EC74" s="239"/>
      <c r="ED74" s="239"/>
      <c r="EE74" s="239"/>
      <c r="EF74" s="239"/>
      <c r="EI74" s="596">
        <f t="shared" si="80"/>
        <v>660.2834696077757</v>
      </c>
      <c r="EJ74" s="233">
        <f t="shared" si="71"/>
        <v>0</v>
      </c>
      <c r="EK74" s="233">
        <f t="shared" si="72"/>
        <v>0</v>
      </c>
      <c r="EL74" s="73">
        <f t="shared" si="73"/>
      </c>
      <c r="EP74" s="162">
        <f t="shared" si="74"/>
        <v>0</v>
      </c>
      <c r="EQ74" s="162">
        <f t="shared" si="87"/>
        <v>0</v>
      </c>
      <c r="ER74" s="162">
        <f t="shared" si="87"/>
        <v>0</v>
      </c>
      <c r="ES74" s="162">
        <f t="shared" si="87"/>
        <v>0</v>
      </c>
      <c r="ET74" s="162">
        <f t="shared" si="87"/>
        <v>0</v>
      </c>
      <c r="EU74" s="162">
        <f t="shared" si="87"/>
        <v>0</v>
      </c>
      <c r="EV74" s="162">
        <f t="shared" si="87"/>
        <v>0</v>
      </c>
      <c r="EW74" s="162">
        <f t="shared" si="87"/>
        <v>0</v>
      </c>
      <c r="EX74" s="162">
        <f t="shared" si="87"/>
        <v>0</v>
      </c>
      <c r="EY74" s="162">
        <f t="shared" si="87"/>
        <v>0</v>
      </c>
      <c r="EZ74" s="162">
        <f t="shared" si="87"/>
        <v>0</v>
      </c>
      <c r="FA74" s="162">
        <f t="shared" si="87"/>
        <v>0</v>
      </c>
      <c r="FB74" s="162">
        <f t="shared" si="43"/>
        <v>0</v>
      </c>
      <c r="FC74" s="162">
        <f t="shared" si="75"/>
        <v>0</v>
      </c>
      <c r="FD74" s="162">
        <f t="shared" si="44"/>
        <v>0</v>
      </c>
      <c r="FE74" s="163">
        <f t="shared" si="82"/>
        <v>100</v>
      </c>
      <c r="FF74" s="164"/>
      <c r="FG74" s="164"/>
      <c r="FH74" s="164"/>
      <c r="FI74" s="164"/>
      <c r="FJ74" s="164"/>
      <c r="FK74" s="164"/>
      <c r="FL74" s="165">
        <f t="shared" si="83"/>
        <v>123.3842809640258</v>
      </c>
      <c r="FM74" s="165">
        <f t="shared" si="84"/>
        <v>499.9726242351593</v>
      </c>
      <c r="FN74" s="162">
        <f t="shared" si="85"/>
        <v>1</v>
      </c>
      <c r="FO74" s="164"/>
    </row>
    <row r="75" spans="1:171" ht="12.75">
      <c r="A75" s="239"/>
      <c r="B75" s="166" t="s">
        <v>18</v>
      </c>
      <c r="C75" s="114">
        <v>1</v>
      </c>
      <c r="D75" s="233">
        <f t="shared" si="28"/>
        <v>19</v>
      </c>
      <c r="E75" s="157">
        <v>1</v>
      </c>
      <c r="F75" s="157">
        <v>1</v>
      </c>
      <c r="G75" s="114">
        <v>1</v>
      </c>
      <c r="H75" s="114">
        <v>1</v>
      </c>
      <c r="I75" s="665">
        <f t="shared" si="29"/>
      </c>
      <c r="J75" s="464">
        <f t="shared" si="52"/>
        <v>13.113576663027688</v>
      </c>
      <c r="K75" s="195">
        <f t="shared" si="53"/>
        <v>0.001911914047465373</v>
      </c>
      <c r="L75" s="194">
        <f t="shared" si="54"/>
        <v>0.001911914047465373</v>
      </c>
      <c r="M75" s="71">
        <f t="shared" si="55"/>
        <v>0.9980880859525346</v>
      </c>
      <c r="N75" s="71">
        <f t="shared" si="76"/>
        <v>0</v>
      </c>
      <c r="O75" s="73">
        <f t="shared" si="77"/>
        <v>100</v>
      </c>
      <c r="P75" s="73">
        <f t="shared" si="78"/>
        <v>0</v>
      </c>
      <c r="Q75" s="73"/>
      <c r="R75" s="71">
        <f t="shared" si="56"/>
        <v>0.001911914047465373</v>
      </c>
      <c r="S75" s="71">
        <f t="shared" si="57"/>
        <v>0</v>
      </c>
      <c r="T75" s="71">
        <f t="shared" si="79"/>
        <v>0.9980880859525346</v>
      </c>
      <c r="U75" s="601"/>
      <c r="V75" s="596">
        <f t="shared" si="86"/>
        <v>1</v>
      </c>
      <c r="W75" s="609">
        <f t="shared" si="58"/>
      </c>
      <c r="X75" s="605"/>
      <c r="Y75" s="671"/>
      <c r="Z75" s="25">
        <f t="shared" si="59"/>
        <v>-20.539660485632496</v>
      </c>
      <c r="AA75" s="25">
        <f t="shared" si="34"/>
        <v>98.35182497270766</v>
      </c>
      <c r="AB75" s="25">
        <f t="shared" si="35"/>
        <v>13.113576663027688</v>
      </c>
      <c r="AC75" s="25"/>
      <c r="AD75" s="203"/>
      <c r="AE75" s="203"/>
      <c r="AF75" s="203"/>
      <c r="AG75" s="620"/>
      <c r="AH75" s="69"/>
      <c r="AI75" s="69"/>
      <c r="AJ75" s="319" t="str">
        <f t="shared" si="36"/>
        <v> </v>
      </c>
      <c r="AK75" s="69">
        <f t="shared" si="60"/>
        <v>0</v>
      </c>
      <c r="AL75" s="320">
        <f t="shared" si="61"/>
        <v>0.9980880859525346</v>
      </c>
      <c r="AM75" s="69"/>
      <c r="AN75" s="244"/>
      <c r="AO75" s="239"/>
      <c r="AP75" s="239"/>
      <c r="AQ75" s="239"/>
      <c r="AR75" s="244"/>
      <c r="AS75" s="244"/>
      <c r="AT75" s="244"/>
      <c r="AU75" s="244"/>
      <c r="AV75" s="244"/>
      <c r="AW75" s="244"/>
      <c r="AX75" s="244"/>
      <c r="AY75" s="244"/>
      <c r="AZ75" s="321" t="str">
        <f t="shared" si="37"/>
        <v> </v>
      </c>
      <c r="BA75" s="73">
        <f t="shared" si="38"/>
        <v>1</v>
      </c>
      <c r="BB75" s="322">
        <f t="shared" si="62"/>
        <v>0.001911914047465373</v>
      </c>
      <c r="BC75" s="323">
        <f t="shared" si="51"/>
        <v>0.001911914047465373</v>
      </c>
      <c r="BD75" s="235"/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BO75" s="239"/>
      <c r="BP75" s="319" t="str">
        <f t="shared" si="39"/>
        <v> </v>
      </c>
      <c r="BQ75" s="69">
        <f t="shared" si="63"/>
        <v>100</v>
      </c>
      <c r="BR75" s="320">
        <f t="shared" si="64"/>
        <v>100</v>
      </c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39"/>
      <c r="CD75" s="319" t="str">
        <f t="shared" si="40"/>
        <v> </v>
      </c>
      <c r="CE75" s="69">
        <f t="shared" si="65"/>
        <v>0.001911914047465373</v>
      </c>
      <c r="CF75" s="320">
        <f t="shared" si="66"/>
        <v>0.001911914047465373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39"/>
      <c r="CS75" s="590">
        <f t="shared" si="67"/>
        <v>0.9980880859525346</v>
      </c>
      <c r="CT75" s="253">
        <f t="shared" si="68"/>
        <v>0</v>
      </c>
      <c r="CU75" s="253">
        <f t="shared" si="69"/>
        <v>0</v>
      </c>
      <c r="CV75" s="591">
        <f t="shared" si="70"/>
        <v>0</v>
      </c>
      <c r="CW75" s="239"/>
      <c r="CX75" s="239"/>
      <c r="CY75" s="239"/>
      <c r="CZ75" s="239"/>
      <c r="DA75" s="239"/>
      <c r="DB75" s="239"/>
      <c r="DC75" s="239"/>
      <c r="DD75" s="239"/>
      <c r="DE75" s="239"/>
      <c r="DF75" s="239"/>
      <c r="DG75" s="239"/>
      <c r="DH75" s="239"/>
      <c r="DI75" s="239"/>
      <c r="DJ75" s="239"/>
      <c r="DK75" s="239"/>
      <c r="DL75" s="239"/>
      <c r="DM75" s="239"/>
      <c r="DN75" s="239"/>
      <c r="DO75" s="239"/>
      <c r="DP75" s="239"/>
      <c r="DQ75" s="239"/>
      <c r="DR75" s="239"/>
      <c r="DS75" s="239"/>
      <c r="DT75" s="239"/>
      <c r="DU75" s="239"/>
      <c r="DV75" s="239"/>
      <c r="DW75" s="239"/>
      <c r="DX75" s="239"/>
      <c r="DY75" s="239"/>
      <c r="DZ75" s="239"/>
      <c r="EA75" s="239"/>
      <c r="EB75" s="239"/>
      <c r="EC75" s="239"/>
      <c r="ED75" s="239"/>
      <c r="EE75" s="239"/>
      <c r="EF75" s="239"/>
      <c r="EI75" s="596">
        <f t="shared" si="80"/>
        <v>660.2834696077757</v>
      </c>
      <c r="EJ75" s="233">
        <f t="shared" si="71"/>
        <v>0</v>
      </c>
      <c r="EK75" s="233">
        <f t="shared" si="72"/>
        <v>0</v>
      </c>
      <c r="EL75" s="73">
        <f t="shared" si="73"/>
      </c>
      <c r="EP75" s="162">
        <f t="shared" si="74"/>
        <v>0</v>
      </c>
      <c r="EQ75" s="162">
        <f t="shared" si="87"/>
        <v>0</v>
      </c>
      <c r="ER75" s="162">
        <f t="shared" si="87"/>
        <v>0</v>
      </c>
      <c r="ES75" s="162">
        <f t="shared" si="87"/>
        <v>0</v>
      </c>
      <c r="ET75" s="162">
        <f t="shared" si="87"/>
        <v>0</v>
      </c>
      <c r="EU75" s="162">
        <f t="shared" si="87"/>
        <v>0</v>
      </c>
      <c r="EV75" s="162">
        <f t="shared" si="87"/>
        <v>0</v>
      </c>
      <c r="EW75" s="162">
        <f t="shared" si="87"/>
        <v>0</v>
      </c>
      <c r="EX75" s="162">
        <f t="shared" si="87"/>
        <v>0</v>
      </c>
      <c r="EY75" s="162">
        <f t="shared" si="87"/>
        <v>0</v>
      </c>
      <c r="EZ75" s="162">
        <f t="shared" si="87"/>
        <v>0</v>
      </c>
      <c r="FA75" s="162">
        <f t="shared" si="87"/>
        <v>0</v>
      </c>
      <c r="FB75" s="162">
        <f t="shared" si="43"/>
        <v>0</v>
      </c>
      <c r="FC75" s="162">
        <f t="shared" si="75"/>
        <v>0</v>
      </c>
      <c r="FD75" s="162">
        <f t="shared" si="44"/>
        <v>0</v>
      </c>
      <c r="FE75" s="163">
        <f t="shared" si="82"/>
        <v>100</v>
      </c>
      <c r="FF75" s="164"/>
      <c r="FG75" s="164"/>
      <c r="FH75" s="164"/>
      <c r="FI75" s="164"/>
      <c r="FJ75" s="164"/>
      <c r="FK75" s="164"/>
      <c r="FL75" s="165">
        <f t="shared" si="83"/>
        <v>124.38236904997834</v>
      </c>
      <c r="FM75" s="165">
        <f t="shared" si="84"/>
        <v>500.9707123211118</v>
      </c>
      <c r="FN75" s="162">
        <f t="shared" si="85"/>
        <v>1</v>
      </c>
      <c r="FO75" s="164"/>
    </row>
    <row r="76" spans="1:171" ht="12.75">
      <c r="A76" s="239"/>
      <c r="B76" s="166" t="s">
        <v>18</v>
      </c>
      <c r="C76" s="114">
        <v>1</v>
      </c>
      <c r="D76" s="233">
        <f t="shared" si="28"/>
        <v>20</v>
      </c>
      <c r="E76" s="157">
        <v>1</v>
      </c>
      <c r="F76" s="157">
        <v>1</v>
      </c>
      <c r="G76" s="114">
        <v>1</v>
      </c>
      <c r="H76" s="114">
        <v>1</v>
      </c>
      <c r="I76" s="665">
        <f t="shared" si="29"/>
      </c>
      <c r="J76" s="464">
        <f t="shared" si="52"/>
        <v>13.101808124392612</v>
      </c>
      <c r="K76" s="195">
        <f t="shared" si="53"/>
        <v>0.0019101982353027021</v>
      </c>
      <c r="L76" s="194">
        <f t="shared" si="54"/>
        <v>0.0019101982353027021</v>
      </c>
      <c r="M76" s="71">
        <f t="shared" si="55"/>
        <v>0.9980898017646973</v>
      </c>
      <c r="N76" s="71">
        <f t="shared" si="76"/>
        <v>0</v>
      </c>
      <c r="O76" s="73">
        <f t="shared" si="77"/>
        <v>100</v>
      </c>
      <c r="P76" s="73">
        <f t="shared" si="78"/>
        <v>0</v>
      </c>
      <c r="Q76" s="73"/>
      <c r="R76" s="71">
        <f t="shared" si="56"/>
        <v>0.0019101982353027021</v>
      </c>
      <c r="S76" s="71">
        <f t="shared" si="57"/>
        <v>0</v>
      </c>
      <c r="T76" s="71">
        <f t="shared" si="79"/>
        <v>0.9980898017646973</v>
      </c>
      <c r="U76" s="601"/>
      <c r="V76" s="596">
        <f t="shared" si="86"/>
        <v>1</v>
      </c>
      <c r="W76" s="609">
        <f t="shared" si="58"/>
      </c>
      <c r="X76" s="605"/>
      <c r="Y76" s="671"/>
      <c r="Z76" s="25">
        <f t="shared" si="59"/>
        <v>-20.341851518409044</v>
      </c>
      <c r="AA76" s="25">
        <f t="shared" si="34"/>
        <v>98.26356093294459</v>
      </c>
      <c r="AB76" s="25">
        <f t="shared" si="35"/>
        <v>13.101808124392612</v>
      </c>
      <c r="AC76" s="25"/>
      <c r="AD76" s="203"/>
      <c r="AE76" s="203"/>
      <c r="AF76" s="203"/>
      <c r="AG76" s="620"/>
      <c r="AH76" s="69"/>
      <c r="AI76" s="69"/>
      <c r="AJ76" s="319" t="str">
        <f t="shared" si="36"/>
        <v> </v>
      </c>
      <c r="AK76" s="69">
        <f t="shared" si="60"/>
        <v>0</v>
      </c>
      <c r="AL76" s="320">
        <f t="shared" si="61"/>
        <v>0.9980898017646973</v>
      </c>
      <c r="AM76" s="69"/>
      <c r="AN76" s="244"/>
      <c r="AO76" s="239"/>
      <c r="AP76" s="239"/>
      <c r="AQ76" s="239"/>
      <c r="AR76" s="244"/>
      <c r="AS76" s="244"/>
      <c r="AT76" s="244"/>
      <c r="AU76" s="244"/>
      <c r="AV76" s="244"/>
      <c r="AW76" s="244"/>
      <c r="AX76" s="244"/>
      <c r="AY76" s="244"/>
      <c r="AZ76" s="321" t="str">
        <f t="shared" si="37"/>
        <v> </v>
      </c>
      <c r="BA76" s="73">
        <f t="shared" si="38"/>
        <v>1</v>
      </c>
      <c r="BB76" s="322">
        <f t="shared" si="62"/>
        <v>0.0019101982353027021</v>
      </c>
      <c r="BC76" s="323">
        <f t="shared" si="51"/>
        <v>0.0019101982353027021</v>
      </c>
      <c r="BD76" s="235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39"/>
      <c r="BP76" s="319" t="str">
        <f t="shared" si="39"/>
        <v> </v>
      </c>
      <c r="BQ76" s="69">
        <f t="shared" si="63"/>
        <v>100</v>
      </c>
      <c r="BR76" s="320">
        <f t="shared" si="64"/>
        <v>100</v>
      </c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9"/>
      <c r="CD76" s="319" t="str">
        <f t="shared" si="40"/>
        <v> </v>
      </c>
      <c r="CE76" s="69">
        <f t="shared" si="65"/>
        <v>0.0019101982353027021</v>
      </c>
      <c r="CF76" s="320">
        <f t="shared" si="66"/>
        <v>0.0019101982353027021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39"/>
      <c r="CS76" s="590">
        <f t="shared" si="67"/>
        <v>0.9980898017646973</v>
      </c>
      <c r="CT76" s="253">
        <f t="shared" si="68"/>
        <v>0</v>
      </c>
      <c r="CU76" s="253">
        <f t="shared" si="69"/>
        <v>0</v>
      </c>
      <c r="CV76" s="591">
        <f t="shared" si="70"/>
        <v>0</v>
      </c>
      <c r="CW76" s="239"/>
      <c r="CX76" s="239"/>
      <c r="CY76" s="239"/>
      <c r="CZ76" s="239"/>
      <c r="DA76" s="239"/>
      <c r="DB76" s="239"/>
      <c r="DC76" s="239"/>
      <c r="DD76" s="239"/>
      <c r="DE76" s="239"/>
      <c r="DF76" s="239"/>
      <c r="DG76" s="239"/>
      <c r="DH76" s="239"/>
      <c r="DI76" s="239"/>
      <c r="DJ76" s="239"/>
      <c r="DK76" s="239"/>
      <c r="DL76" s="239"/>
      <c r="DM76" s="239"/>
      <c r="DN76" s="239"/>
      <c r="DO76" s="239"/>
      <c r="DP76" s="239"/>
      <c r="DQ76" s="239"/>
      <c r="DR76" s="239"/>
      <c r="DS76" s="239"/>
      <c r="DT76" s="239"/>
      <c r="DU76" s="239"/>
      <c r="DV76" s="239"/>
      <c r="DW76" s="239"/>
      <c r="DX76" s="239"/>
      <c r="DY76" s="239"/>
      <c r="DZ76" s="239"/>
      <c r="EA76" s="239"/>
      <c r="EB76" s="239"/>
      <c r="EC76" s="239"/>
      <c r="ED76" s="239"/>
      <c r="EE76" s="239"/>
      <c r="EF76" s="239"/>
      <c r="EI76" s="596">
        <f t="shared" si="80"/>
        <v>660.2834696077757</v>
      </c>
      <c r="EJ76" s="233">
        <f t="shared" si="71"/>
        <v>0</v>
      </c>
      <c r="EK76" s="233">
        <f t="shared" si="72"/>
        <v>0</v>
      </c>
      <c r="EL76" s="73">
        <f t="shared" si="73"/>
      </c>
      <c r="EP76" s="162">
        <f t="shared" si="74"/>
        <v>0</v>
      </c>
      <c r="EQ76" s="162">
        <f t="shared" si="87"/>
        <v>0</v>
      </c>
      <c r="ER76" s="162">
        <f t="shared" si="87"/>
        <v>0</v>
      </c>
      <c r="ES76" s="162">
        <f t="shared" si="87"/>
        <v>0</v>
      </c>
      <c r="ET76" s="162">
        <f t="shared" si="87"/>
        <v>0</v>
      </c>
      <c r="EU76" s="162">
        <f t="shared" si="87"/>
        <v>0</v>
      </c>
      <c r="EV76" s="162">
        <f t="shared" si="87"/>
        <v>0</v>
      </c>
      <c r="EW76" s="162">
        <f t="shared" si="87"/>
        <v>0</v>
      </c>
      <c r="EX76" s="162">
        <f t="shared" si="87"/>
        <v>0</v>
      </c>
      <c r="EY76" s="162">
        <f t="shared" si="87"/>
        <v>0</v>
      </c>
      <c r="EZ76" s="162">
        <f t="shared" si="87"/>
        <v>0</v>
      </c>
      <c r="FA76" s="162">
        <f t="shared" si="87"/>
        <v>0</v>
      </c>
      <c r="FB76" s="162">
        <f t="shared" si="43"/>
        <v>0</v>
      </c>
      <c r="FC76" s="162">
        <f t="shared" si="75"/>
        <v>0</v>
      </c>
      <c r="FD76" s="162">
        <f t="shared" si="44"/>
        <v>0</v>
      </c>
      <c r="FE76" s="163">
        <f t="shared" si="82"/>
        <v>100</v>
      </c>
      <c r="FF76" s="164"/>
      <c r="FG76" s="164"/>
      <c r="FH76" s="164"/>
      <c r="FI76" s="164"/>
      <c r="FJ76" s="164"/>
      <c r="FK76" s="164"/>
      <c r="FL76" s="165">
        <f t="shared" si="83"/>
        <v>125.38045885174303</v>
      </c>
      <c r="FM76" s="165">
        <f t="shared" si="84"/>
        <v>501.9688021228765</v>
      </c>
      <c r="FN76" s="162">
        <f t="shared" si="85"/>
        <v>1</v>
      </c>
      <c r="FO76" s="164"/>
    </row>
    <row r="77" spans="1:171" ht="12.75">
      <c r="A77" s="239"/>
      <c r="B77" s="166" t="s">
        <v>18</v>
      </c>
      <c r="C77" s="114">
        <v>1</v>
      </c>
      <c r="D77" s="233">
        <f t="shared" si="28"/>
        <v>21</v>
      </c>
      <c r="E77" s="157">
        <v>1</v>
      </c>
      <c r="F77" s="157">
        <v>1</v>
      </c>
      <c r="G77" s="114">
        <v>1</v>
      </c>
      <c r="H77" s="114">
        <v>1</v>
      </c>
      <c r="I77" s="665">
        <f t="shared" si="29"/>
      </c>
      <c r="J77" s="464">
        <f t="shared" si="52"/>
        <v>13.089715185225144</v>
      </c>
      <c r="K77" s="195">
        <f t="shared" si="53"/>
        <v>0.001908435126666245</v>
      </c>
      <c r="L77" s="194">
        <f t="shared" si="54"/>
        <v>0.001908435126666245</v>
      </c>
      <c r="M77" s="71">
        <f t="shared" si="55"/>
        <v>0.9980915648733337</v>
      </c>
      <c r="N77" s="71">
        <f t="shared" si="76"/>
        <v>0</v>
      </c>
      <c r="O77" s="73">
        <f t="shared" si="77"/>
        <v>100</v>
      </c>
      <c r="P77" s="73">
        <f t="shared" si="78"/>
        <v>0</v>
      </c>
      <c r="Q77" s="73"/>
      <c r="R77" s="71">
        <f t="shared" si="56"/>
        <v>0.001908435126666245</v>
      </c>
      <c r="S77" s="71">
        <f t="shared" si="57"/>
        <v>0</v>
      </c>
      <c r="T77" s="71">
        <f t="shared" si="79"/>
        <v>0.9980915648733337</v>
      </c>
      <c r="U77" s="601"/>
      <c r="V77" s="596">
        <f t="shared" si="86"/>
        <v>1</v>
      </c>
      <c r="W77" s="609">
        <f t="shared" si="58"/>
      </c>
      <c r="X77" s="605"/>
      <c r="Y77" s="671"/>
      <c r="Z77" s="25">
        <f t="shared" si="59"/>
        <v>-20.138014821567577</v>
      </c>
      <c r="AA77" s="25">
        <f t="shared" si="34"/>
        <v>98.17286388918858</v>
      </c>
      <c r="AB77" s="25">
        <f t="shared" si="35"/>
        <v>13.089715185225144</v>
      </c>
      <c r="AC77" s="25"/>
      <c r="AD77" s="203"/>
      <c r="AE77" s="203"/>
      <c r="AF77" s="203"/>
      <c r="AG77" s="620"/>
      <c r="AH77" s="69"/>
      <c r="AI77" s="69"/>
      <c r="AJ77" s="319" t="str">
        <f t="shared" si="36"/>
        <v> </v>
      </c>
      <c r="AK77" s="69">
        <f t="shared" si="60"/>
        <v>0</v>
      </c>
      <c r="AL77" s="320">
        <f t="shared" si="61"/>
        <v>0.9980915648733337</v>
      </c>
      <c r="AM77" s="69"/>
      <c r="AN77" s="244"/>
      <c r="AO77" s="239"/>
      <c r="AP77" s="239"/>
      <c r="AQ77" s="239"/>
      <c r="AR77" s="244"/>
      <c r="AS77" s="244"/>
      <c r="AT77" s="244"/>
      <c r="AU77" s="244"/>
      <c r="AV77" s="244"/>
      <c r="AW77" s="244"/>
      <c r="AX77" s="244"/>
      <c r="AY77" s="244"/>
      <c r="AZ77" s="321" t="str">
        <f t="shared" si="37"/>
        <v> </v>
      </c>
      <c r="BA77" s="73">
        <f t="shared" si="38"/>
        <v>1</v>
      </c>
      <c r="BB77" s="322">
        <f t="shared" si="62"/>
        <v>0.001908435126666245</v>
      </c>
      <c r="BC77" s="323">
        <f t="shared" si="51"/>
        <v>0.001908435126666245</v>
      </c>
      <c r="BD77" s="235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319" t="str">
        <f t="shared" si="39"/>
        <v> </v>
      </c>
      <c r="BQ77" s="69">
        <f t="shared" si="63"/>
        <v>100</v>
      </c>
      <c r="BR77" s="320">
        <f t="shared" si="64"/>
        <v>100</v>
      </c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319" t="str">
        <f t="shared" si="40"/>
        <v> </v>
      </c>
      <c r="CE77" s="69">
        <f t="shared" si="65"/>
        <v>0.001908435126666245</v>
      </c>
      <c r="CF77" s="320">
        <f t="shared" si="66"/>
        <v>0.001908435126666245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39"/>
      <c r="CS77" s="590">
        <f t="shared" si="67"/>
        <v>0.9980915648733337</v>
      </c>
      <c r="CT77" s="253">
        <f t="shared" si="68"/>
        <v>0</v>
      </c>
      <c r="CU77" s="253">
        <f t="shared" si="69"/>
        <v>0</v>
      </c>
      <c r="CV77" s="591">
        <f t="shared" si="70"/>
        <v>0</v>
      </c>
      <c r="CW77" s="239"/>
      <c r="CX77" s="239"/>
      <c r="CY77" s="239"/>
      <c r="CZ77" s="239"/>
      <c r="DA77" s="239"/>
      <c r="DB77" s="239"/>
      <c r="DC77" s="239"/>
      <c r="DD77" s="239"/>
      <c r="DE77" s="239"/>
      <c r="DF77" s="239"/>
      <c r="DG77" s="239"/>
      <c r="DH77" s="239"/>
      <c r="DI77" s="239"/>
      <c r="DJ77" s="239"/>
      <c r="DK77" s="239"/>
      <c r="DL77" s="239"/>
      <c r="DM77" s="239"/>
      <c r="DN77" s="239"/>
      <c r="DO77" s="239"/>
      <c r="DP77" s="239"/>
      <c r="DQ77" s="239"/>
      <c r="DR77" s="239"/>
      <c r="DS77" s="239"/>
      <c r="DT77" s="239"/>
      <c r="DU77" s="239"/>
      <c r="DV77" s="239"/>
      <c r="DW77" s="239"/>
      <c r="DX77" s="239"/>
      <c r="DY77" s="239"/>
      <c r="DZ77" s="239"/>
      <c r="EA77" s="239"/>
      <c r="EB77" s="239"/>
      <c r="EC77" s="239"/>
      <c r="ED77" s="239"/>
      <c r="EE77" s="239"/>
      <c r="EF77" s="239"/>
      <c r="EI77" s="596">
        <f t="shared" si="80"/>
        <v>660.2834696077757</v>
      </c>
      <c r="EJ77" s="233">
        <f t="shared" si="71"/>
        <v>0</v>
      </c>
      <c r="EK77" s="233">
        <f t="shared" si="72"/>
        <v>0</v>
      </c>
      <c r="EL77" s="73">
        <f t="shared" si="73"/>
      </c>
      <c r="EP77" s="162">
        <f t="shared" si="74"/>
        <v>0</v>
      </c>
      <c r="EQ77" s="162">
        <f t="shared" si="87"/>
        <v>0</v>
      </c>
      <c r="ER77" s="162">
        <f t="shared" si="87"/>
        <v>0</v>
      </c>
      <c r="ES77" s="162">
        <f t="shared" si="87"/>
        <v>0</v>
      </c>
      <c r="ET77" s="162">
        <f t="shared" si="87"/>
        <v>0</v>
      </c>
      <c r="EU77" s="162">
        <f t="shared" si="87"/>
        <v>0</v>
      </c>
      <c r="EV77" s="162">
        <f t="shared" si="87"/>
        <v>0</v>
      </c>
      <c r="EW77" s="162">
        <f t="shared" si="87"/>
        <v>0</v>
      </c>
      <c r="EX77" s="162">
        <f t="shared" si="87"/>
        <v>0</v>
      </c>
      <c r="EY77" s="162">
        <f t="shared" si="87"/>
        <v>0</v>
      </c>
      <c r="EZ77" s="162">
        <f t="shared" si="87"/>
        <v>0</v>
      </c>
      <c r="FA77" s="162">
        <f t="shared" si="87"/>
        <v>0</v>
      </c>
      <c r="FB77" s="162">
        <f t="shared" si="43"/>
        <v>0</v>
      </c>
      <c r="FC77" s="162">
        <f t="shared" si="75"/>
        <v>0</v>
      </c>
      <c r="FD77" s="162">
        <f t="shared" si="44"/>
        <v>0</v>
      </c>
      <c r="FE77" s="163">
        <f t="shared" si="82"/>
        <v>100</v>
      </c>
      <c r="FF77" s="164"/>
      <c r="FG77" s="164"/>
      <c r="FH77" s="164"/>
      <c r="FI77" s="164"/>
      <c r="FJ77" s="164"/>
      <c r="FK77" s="164"/>
      <c r="FL77" s="165">
        <f t="shared" si="83"/>
        <v>126.37855041661636</v>
      </c>
      <c r="FM77" s="165">
        <f t="shared" si="84"/>
        <v>502.96689368774986</v>
      </c>
      <c r="FN77" s="162">
        <f t="shared" si="85"/>
        <v>1</v>
      </c>
      <c r="FO77" s="164"/>
    </row>
    <row r="78" spans="1:171" ht="12.75">
      <c r="A78" s="239"/>
      <c r="B78" s="166" t="s">
        <v>18</v>
      </c>
      <c r="C78" s="114">
        <v>1</v>
      </c>
      <c r="D78" s="233">
        <f t="shared" si="28"/>
        <v>22</v>
      </c>
      <c r="E78" s="157">
        <v>1</v>
      </c>
      <c r="F78" s="157">
        <v>1</v>
      </c>
      <c r="G78" s="114">
        <v>1</v>
      </c>
      <c r="H78" s="114">
        <v>1</v>
      </c>
      <c r="I78" s="665">
        <f t="shared" si="29"/>
      </c>
      <c r="J78" s="464">
        <f t="shared" si="52"/>
        <v>13.0773039878716</v>
      </c>
      <c r="K78" s="195">
        <f t="shared" si="53"/>
        <v>0.0019066256170888155</v>
      </c>
      <c r="L78" s="194">
        <f t="shared" si="54"/>
        <v>0.0019066256170888155</v>
      </c>
      <c r="M78" s="71">
        <f t="shared" si="55"/>
        <v>0.9980933743829112</v>
      </c>
      <c r="N78" s="71">
        <f t="shared" si="76"/>
        <v>0</v>
      </c>
      <c r="O78" s="73">
        <f t="shared" si="77"/>
        <v>100</v>
      </c>
      <c r="P78" s="73">
        <f t="shared" si="78"/>
        <v>0</v>
      </c>
      <c r="Q78" s="73"/>
      <c r="R78" s="71">
        <f t="shared" si="56"/>
        <v>0.0019066256170888155</v>
      </c>
      <c r="S78" s="71">
        <f t="shared" si="57"/>
        <v>0</v>
      </c>
      <c r="T78" s="71">
        <f t="shared" si="79"/>
        <v>0.9980933743829112</v>
      </c>
      <c r="U78" s="601"/>
      <c r="V78" s="596">
        <f t="shared" si="86"/>
        <v>1</v>
      </c>
      <c r="W78" s="609">
        <f t="shared" si="58"/>
      </c>
      <c r="X78" s="605"/>
      <c r="Y78" s="671"/>
      <c r="Z78" s="25">
        <f t="shared" si="59"/>
        <v>-19.928210796320528</v>
      </c>
      <c r="AA78" s="25">
        <f t="shared" si="34"/>
        <v>98.079779909037</v>
      </c>
      <c r="AB78" s="25">
        <f t="shared" si="35"/>
        <v>13.0773039878716</v>
      </c>
      <c r="AC78" s="25"/>
      <c r="AD78" s="203"/>
      <c r="AE78" s="203"/>
      <c r="AF78" s="203"/>
      <c r="AG78" s="620"/>
      <c r="AH78" s="69"/>
      <c r="AI78" s="69"/>
      <c r="AJ78" s="319" t="str">
        <f t="shared" si="36"/>
        <v> </v>
      </c>
      <c r="AK78" s="69">
        <f t="shared" si="60"/>
        <v>0</v>
      </c>
      <c r="AL78" s="320">
        <f t="shared" si="61"/>
        <v>0.9980933743829112</v>
      </c>
      <c r="AM78" s="69"/>
      <c r="AN78" s="244"/>
      <c r="AO78" s="239"/>
      <c r="AP78" s="239"/>
      <c r="AQ78" s="239"/>
      <c r="AR78" s="244"/>
      <c r="AS78" s="244"/>
      <c r="AT78" s="244"/>
      <c r="AU78" s="244"/>
      <c r="AV78" s="244"/>
      <c r="AW78" s="244"/>
      <c r="AX78" s="244"/>
      <c r="AY78" s="244"/>
      <c r="AZ78" s="321" t="str">
        <f t="shared" si="37"/>
        <v> </v>
      </c>
      <c r="BA78" s="73">
        <f t="shared" si="38"/>
        <v>1</v>
      </c>
      <c r="BB78" s="322">
        <f t="shared" si="62"/>
        <v>0.0019066256170888155</v>
      </c>
      <c r="BC78" s="323">
        <f t="shared" si="51"/>
        <v>0.0019066256170888155</v>
      </c>
      <c r="BD78" s="235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319" t="str">
        <f t="shared" si="39"/>
        <v> </v>
      </c>
      <c r="BQ78" s="69">
        <f t="shared" si="63"/>
        <v>100</v>
      </c>
      <c r="BR78" s="320">
        <f t="shared" si="64"/>
        <v>100</v>
      </c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319" t="str">
        <f t="shared" si="40"/>
        <v> </v>
      </c>
      <c r="CE78" s="69">
        <f t="shared" si="65"/>
        <v>0.0019066256170888155</v>
      </c>
      <c r="CF78" s="320">
        <f t="shared" si="66"/>
        <v>0.0019066256170888155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39"/>
      <c r="CS78" s="590">
        <f t="shared" si="67"/>
        <v>0.9980933743829112</v>
      </c>
      <c r="CT78" s="253">
        <f t="shared" si="68"/>
        <v>0</v>
      </c>
      <c r="CU78" s="253">
        <f t="shared" si="69"/>
        <v>0</v>
      </c>
      <c r="CV78" s="591">
        <f t="shared" si="70"/>
        <v>0</v>
      </c>
      <c r="CW78" s="239"/>
      <c r="CX78" s="239"/>
      <c r="CY78" s="239"/>
      <c r="CZ78" s="239"/>
      <c r="DA78" s="239"/>
      <c r="DB78" s="239"/>
      <c r="DC78" s="239"/>
      <c r="DD78" s="239"/>
      <c r="DE78" s="239"/>
      <c r="DF78" s="239"/>
      <c r="DG78" s="239"/>
      <c r="DH78" s="239"/>
      <c r="DI78" s="239"/>
      <c r="DJ78" s="239"/>
      <c r="DK78" s="239"/>
      <c r="DL78" s="239"/>
      <c r="DM78" s="239"/>
      <c r="DN78" s="239"/>
      <c r="DO78" s="239"/>
      <c r="DP78" s="239"/>
      <c r="DQ78" s="239"/>
      <c r="DR78" s="239"/>
      <c r="DS78" s="239"/>
      <c r="DT78" s="239"/>
      <c r="DU78" s="239"/>
      <c r="DV78" s="239"/>
      <c r="DW78" s="239"/>
      <c r="DX78" s="239"/>
      <c r="DY78" s="239"/>
      <c r="DZ78" s="239"/>
      <c r="EA78" s="239"/>
      <c r="EB78" s="239"/>
      <c r="EC78" s="239"/>
      <c r="ED78" s="239"/>
      <c r="EE78" s="239"/>
      <c r="EF78" s="239"/>
      <c r="EI78" s="596">
        <f t="shared" si="80"/>
        <v>660.2834696077757</v>
      </c>
      <c r="EJ78" s="233">
        <f t="shared" si="71"/>
        <v>0</v>
      </c>
      <c r="EK78" s="233">
        <f t="shared" si="72"/>
        <v>0</v>
      </c>
      <c r="EL78" s="73">
        <f t="shared" si="73"/>
      </c>
      <c r="EP78" s="162">
        <f t="shared" si="74"/>
        <v>0</v>
      </c>
      <c r="EQ78" s="162">
        <f t="shared" si="87"/>
        <v>0</v>
      </c>
      <c r="ER78" s="162">
        <f t="shared" si="87"/>
        <v>0</v>
      </c>
      <c r="ES78" s="162">
        <f t="shared" si="87"/>
        <v>0</v>
      </c>
      <c r="ET78" s="162">
        <f t="shared" si="87"/>
        <v>0</v>
      </c>
      <c r="EU78" s="162">
        <f t="shared" si="87"/>
        <v>0</v>
      </c>
      <c r="EV78" s="162">
        <f t="shared" si="87"/>
        <v>0</v>
      </c>
      <c r="EW78" s="162">
        <f t="shared" si="87"/>
        <v>0</v>
      </c>
      <c r="EX78" s="162">
        <f t="shared" si="87"/>
        <v>0</v>
      </c>
      <c r="EY78" s="162">
        <f t="shared" si="87"/>
        <v>0</v>
      </c>
      <c r="EZ78" s="162">
        <f t="shared" si="87"/>
        <v>0</v>
      </c>
      <c r="FA78" s="162">
        <f t="shared" si="87"/>
        <v>0</v>
      </c>
      <c r="FB78" s="162">
        <f t="shared" si="43"/>
        <v>0</v>
      </c>
      <c r="FC78" s="162">
        <f t="shared" si="75"/>
        <v>0</v>
      </c>
      <c r="FD78" s="162">
        <f t="shared" si="44"/>
        <v>0</v>
      </c>
      <c r="FE78" s="163">
        <f t="shared" si="82"/>
        <v>100</v>
      </c>
      <c r="FF78" s="164"/>
      <c r="FG78" s="164"/>
      <c r="FH78" s="164"/>
      <c r="FI78" s="164"/>
      <c r="FJ78" s="164"/>
      <c r="FK78" s="164"/>
      <c r="FL78" s="165">
        <f t="shared" si="83"/>
        <v>127.37664379099928</v>
      </c>
      <c r="FM78" s="165">
        <f t="shared" si="84"/>
        <v>503.96498706213276</v>
      </c>
      <c r="FN78" s="162">
        <f t="shared" si="85"/>
        <v>1</v>
      </c>
      <c r="FO78" s="164"/>
    </row>
    <row r="79" spans="1:171" ht="12.75">
      <c r="A79" s="239"/>
      <c r="B79" s="166" t="s">
        <v>18</v>
      </c>
      <c r="C79" s="114">
        <v>1</v>
      </c>
      <c r="D79" s="233">
        <f t="shared" si="28"/>
        <v>23</v>
      </c>
      <c r="E79" s="157">
        <v>1</v>
      </c>
      <c r="F79" s="157">
        <v>1</v>
      </c>
      <c r="G79" s="114">
        <v>1</v>
      </c>
      <c r="H79" s="114">
        <v>1</v>
      </c>
      <c r="I79" s="665">
        <f t="shared" si="29"/>
      </c>
      <c r="J79" s="464">
        <f t="shared" si="52"/>
        <v>13.064580743604289</v>
      </c>
      <c r="K79" s="195">
        <f t="shared" si="53"/>
        <v>0.0019047706121523979</v>
      </c>
      <c r="L79" s="194">
        <f t="shared" si="54"/>
        <v>0.0019047706121523979</v>
      </c>
      <c r="M79" s="71">
        <f t="shared" si="55"/>
        <v>0.9980952293878476</v>
      </c>
      <c r="N79" s="71">
        <f t="shared" si="76"/>
        <v>0</v>
      </c>
      <c r="O79" s="73">
        <f t="shared" si="77"/>
        <v>100</v>
      </c>
      <c r="P79" s="73">
        <f t="shared" si="78"/>
        <v>0</v>
      </c>
      <c r="Q79" s="73"/>
      <c r="R79" s="71">
        <f t="shared" si="56"/>
        <v>0.0019047706121523979</v>
      </c>
      <c r="S79" s="71">
        <f t="shared" si="57"/>
        <v>0</v>
      </c>
      <c r="T79" s="71">
        <f t="shared" si="79"/>
        <v>0.9980952293878476</v>
      </c>
      <c r="U79" s="601"/>
      <c r="V79" s="596">
        <f t="shared" si="86"/>
        <v>1</v>
      </c>
      <c r="W79" s="609">
        <f t="shared" si="58"/>
      </c>
      <c r="X79" s="605"/>
      <c r="Y79" s="671"/>
      <c r="Z79" s="25">
        <f t="shared" si="59"/>
        <v>-19.71250161212851</v>
      </c>
      <c r="AA79" s="25">
        <f t="shared" si="34"/>
        <v>97.98435557703216</v>
      </c>
      <c r="AB79" s="25">
        <f t="shared" si="35"/>
        <v>13.064580743604289</v>
      </c>
      <c r="AC79" s="25"/>
      <c r="AD79" s="203"/>
      <c r="AE79" s="203"/>
      <c r="AF79" s="203"/>
      <c r="AG79" s="620"/>
      <c r="AH79" s="69"/>
      <c r="AI79" s="69"/>
      <c r="AJ79" s="319" t="str">
        <f t="shared" si="36"/>
        <v> </v>
      </c>
      <c r="AK79" s="69">
        <f t="shared" si="60"/>
        <v>0</v>
      </c>
      <c r="AL79" s="320">
        <f t="shared" si="61"/>
        <v>0.9980952293878476</v>
      </c>
      <c r="AM79" s="69"/>
      <c r="AN79" s="244"/>
      <c r="AO79" s="239"/>
      <c r="AP79" s="239"/>
      <c r="AQ79" s="239"/>
      <c r="AR79" s="244"/>
      <c r="AS79" s="244"/>
      <c r="AT79" s="244"/>
      <c r="AU79" s="244"/>
      <c r="AV79" s="244"/>
      <c r="AW79" s="244"/>
      <c r="AX79" s="244"/>
      <c r="AY79" s="244"/>
      <c r="AZ79" s="321" t="str">
        <f t="shared" si="37"/>
        <v> </v>
      </c>
      <c r="BA79" s="73">
        <f t="shared" si="38"/>
        <v>1</v>
      </c>
      <c r="BB79" s="322">
        <f t="shared" si="62"/>
        <v>0.0019047706121523979</v>
      </c>
      <c r="BC79" s="323">
        <f t="shared" si="51"/>
        <v>0.0019047706121523979</v>
      </c>
      <c r="BD79" s="235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39"/>
      <c r="BP79" s="319" t="str">
        <f t="shared" si="39"/>
        <v> </v>
      </c>
      <c r="BQ79" s="69">
        <f t="shared" si="63"/>
        <v>100</v>
      </c>
      <c r="BR79" s="320">
        <f t="shared" si="64"/>
        <v>100</v>
      </c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39"/>
      <c r="CD79" s="319" t="str">
        <f t="shared" si="40"/>
        <v> </v>
      </c>
      <c r="CE79" s="69">
        <f t="shared" si="65"/>
        <v>0.0019047706121523979</v>
      </c>
      <c r="CF79" s="320">
        <f t="shared" si="66"/>
        <v>0.0019047706121523979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39"/>
      <c r="CS79" s="590">
        <f t="shared" si="67"/>
        <v>0.9980952293878476</v>
      </c>
      <c r="CT79" s="253">
        <f t="shared" si="68"/>
        <v>0</v>
      </c>
      <c r="CU79" s="253">
        <f t="shared" si="69"/>
        <v>0</v>
      </c>
      <c r="CV79" s="591">
        <f t="shared" si="70"/>
        <v>0</v>
      </c>
      <c r="CW79" s="239"/>
      <c r="CX79" s="239"/>
      <c r="CY79" s="239"/>
      <c r="CZ79" s="239"/>
      <c r="DA79" s="239"/>
      <c r="DB79" s="239"/>
      <c r="DC79" s="239"/>
      <c r="DD79" s="239"/>
      <c r="DE79" s="239"/>
      <c r="DF79" s="239"/>
      <c r="DG79" s="239"/>
      <c r="DH79" s="239"/>
      <c r="DI79" s="239"/>
      <c r="DJ79" s="239"/>
      <c r="DK79" s="239"/>
      <c r="DL79" s="239"/>
      <c r="DM79" s="239"/>
      <c r="DN79" s="239"/>
      <c r="DO79" s="239"/>
      <c r="DP79" s="239"/>
      <c r="DQ79" s="239"/>
      <c r="DR79" s="239"/>
      <c r="DS79" s="239"/>
      <c r="DT79" s="239"/>
      <c r="DU79" s="239"/>
      <c r="DV79" s="239"/>
      <c r="DW79" s="239"/>
      <c r="DX79" s="239"/>
      <c r="DY79" s="239"/>
      <c r="DZ79" s="239"/>
      <c r="EA79" s="239"/>
      <c r="EB79" s="239"/>
      <c r="EC79" s="239"/>
      <c r="ED79" s="239"/>
      <c r="EE79" s="239"/>
      <c r="EF79" s="239"/>
      <c r="EI79" s="596">
        <f t="shared" si="80"/>
        <v>660.2834696077757</v>
      </c>
      <c r="EJ79" s="233">
        <f t="shared" si="71"/>
        <v>0</v>
      </c>
      <c r="EK79" s="233">
        <f t="shared" si="72"/>
        <v>0</v>
      </c>
      <c r="EL79" s="73">
        <f t="shared" si="73"/>
      </c>
      <c r="EP79" s="162">
        <f t="shared" si="74"/>
        <v>0</v>
      </c>
      <c r="EQ79" s="162">
        <f t="shared" si="87"/>
        <v>0</v>
      </c>
      <c r="ER79" s="162">
        <f t="shared" si="87"/>
        <v>0</v>
      </c>
      <c r="ES79" s="162">
        <f t="shared" si="87"/>
        <v>0</v>
      </c>
      <c r="ET79" s="162">
        <f t="shared" si="87"/>
        <v>0</v>
      </c>
      <c r="EU79" s="162">
        <f t="shared" si="87"/>
        <v>0</v>
      </c>
      <c r="EV79" s="162">
        <f t="shared" si="87"/>
        <v>0</v>
      </c>
      <c r="EW79" s="162">
        <f t="shared" si="87"/>
        <v>0</v>
      </c>
      <c r="EX79" s="162">
        <f t="shared" si="87"/>
        <v>0</v>
      </c>
      <c r="EY79" s="162">
        <f t="shared" si="87"/>
        <v>0</v>
      </c>
      <c r="EZ79" s="162">
        <f t="shared" si="87"/>
        <v>0</v>
      </c>
      <c r="FA79" s="162">
        <f t="shared" si="87"/>
        <v>0</v>
      </c>
      <c r="FB79" s="162">
        <f t="shared" si="43"/>
        <v>0</v>
      </c>
      <c r="FC79" s="162">
        <f t="shared" si="75"/>
        <v>0</v>
      </c>
      <c r="FD79" s="162">
        <f t="shared" si="44"/>
        <v>0</v>
      </c>
      <c r="FE79" s="163">
        <f t="shared" si="82"/>
        <v>100</v>
      </c>
      <c r="FF79" s="164"/>
      <c r="FG79" s="164"/>
      <c r="FH79" s="164"/>
      <c r="FI79" s="164"/>
      <c r="FJ79" s="164"/>
      <c r="FK79" s="164"/>
      <c r="FL79" s="165">
        <f t="shared" si="83"/>
        <v>128.37473902038712</v>
      </c>
      <c r="FM79" s="165">
        <f t="shared" si="84"/>
        <v>504.9630822915206</v>
      </c>
      <c r="FN79" s="162">
        <f t="shared" si="85"/>
        <v>1</v>
      </c>
      <c r="FO79" s="164"/>
    </row>
    <row r="80" spans="1:171" ht="12.75">
      <c r="A80" s="239"/>
      <c r="B80" s="166" t="s">
        <v>18</v>
      </c>
      <c r="C80" s="114">
        <v>1</v>
      </c>
      <c r="D80" s="233">
        <f t="shared" si="28"/>
        <v>24</v>
      </c>
      <c r="E80" s="157">
        <v>1</v>
      </c>
      <c r="F80" s="157">
        <v>1</v>
      </c>
      <c r="G80" s="114">
        <v>1</v>
      </c>
      <c r="H80" s="114">
        <v>1</v>
      </c>
      <c r="I80" s="665">
        <f t="shared" si="29"/>
      </c>
      <c r="J80" s="464">
        <f t="shared" si="52"/>
        <v>13.051551723690853</v>
      </c>
      <c r="K80" s="195">
        <f t="shared" si="53"/>
        <v>0.001902871026186089</v>
      </c>
      <c r="L80" s="194">
        <f t="shared" si="54"/>
        <v>0.001902871026186089</v>
      </c>
      <c r="M80" s="71">
        <f t="shared" si="55"/>
        <v>0.9980971289738139</v>
      </c>
      <c r="N80" s="71">
        <f t="shared" si="76"/>
        <v>0</v>
      </c>
      <c r="O80" s="73">
        <f t="shared" si="77"/>
        <v>100</v>
      </c>
      <c r="P80" s="73">
        <f t="shared" si="78"/>
        <v>0</v>
      </c>
      <c r="Q80" s="73"/>
      <c r="R80" s="71">
        <f t="shared" si="56"/>
        <v>0.001902871026186089</v>
      </c>
      <c r="S80" s="71">
        <f t="shared" si="57"/>
        <v>0</v>
      </c>
      <c r="T80" s="71">
        <f t="shared" si="79"/>
        <v>0.9980971289738139</v>
      </c>
      <c r="U80" s="601"/>
      <c r="V80" s="596">
        <f t="shared" si="86"/>
        <v>1</v>
      </c>
      <c r="W80" s="609">
        <f t="shared" si="58"/>
      </c>
      <c r="X80" s="605"/>
      <c r="Y80" s="671"/>
      <c r="Z80" s="25">
        <f t="shared" si="59"/>
        <v>-19.490951188278192</v>
      </c>
      <c r="AA80" s="25">
        <f t="shared" si="34"/>
        <v>97.88663792768139</v>
      </c>
      <c r="AB80" s="25">
        <f t="shared" si="35"/>
        <v>13.051551723690853</v>
      </c>
      <c r="AC80" s="25"/>
      <c r="AD80" s="203"/>
      <c r="AE80" s="203"/>
      <c r="AF80" s="203"/>
      <c r="AG80" s="620"/>
      <c r="AH80" s="69"/>
      <c r="AI80" s="69"/>
      <c r="AJ80" s="319" t="str">
        <f t="shared" si="36"/>
        <v> </v>
      </c>
      <c r="AK80" s="69">
        <f t="shared" si="60"/>
        <v>0</v>
      </c>
      <c r="AL80" s="320">
        <f t="shared" si="61"/>
        <v>0.9980971289738139</v>
      </c>
      <c r="AM80" s="69"/>
      <c r="AN80" s="244"/>
      <c r="AO80" s="239"/>
      <c r="AP80" s="239"/>
      <c r="AQ80" s="239"/>
      <c r="AR80" s="244"/>
      <c r="AS80" s="244"/>
      <c r="AT80" s="244"/>
      <c r="AU80" s="244"/>
      <c r="AV80" s="244"/>
      <c r="AW80" s="244"/>
      <c r="AX80" s="244"/>
      <c r="AY80" s="244"/>
      <c r="AZ80" s="321" t="str">
        <f t="shared" si="37"/>
        <v> </v>
      </c>
      <c r="BA80" s="73">
        <f t="shared" si="38"/>
        <v>1</v>
      </c>
      <c r="BB80" s="322">
        <f t="shared" si="62"/>
        <v>0.001902871026186089</v>
      </c>
      <c r="BC80" s="323">
        <f t="shared" si="51"/>
        <v>0.001902871026186089</v>
      </c>
      <c r="BD80" s="235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319" t="str">
        <f t="shared" si="39"/>
        <v> </v>
      </c>
      <c r="BQ80" s="69">
        <f t="shared" si="63"/>
        <v>100</v>
      </c>
      <c r="BR80" s="320">
        <f t="shared" si="64"/>
        <v>100</v>
      </c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319" t="str">
        <f t="shared" si="40"/>
        <v> </v>
      </c>
      <c r="CE80" s="69">
        <f t="shared" si="65"/>
        <v>0.001902871026186089</v>
      </c>
      <c r="CF80" s="320">
        <f t="shared" si="66"/>
        <v>0.001902871026186089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590">
        <f t="shared" si="67"/>
        <v>0.9980971289738139</v>
      </c>
      <c r="CT80" s="253">
        <f t="shared" si="68"/>
        <v>0</v>
      </c>
      <c r="CU80" s="253">
        <f t="shared" si="69"/>
        <v>0</v>
      </c>
      <c r="CV80" s="591">
        <f t="shared" si="70"/>
        <v>0</v>
      </c>
      <c r="CW80" s="239"/>
      <c r="CX80" s="239"/>
      <c r="CY80" s="239"/>
      <c r="CZ80" s="239"/>
      <c r="DA80" s="239"/>
      <c r="DB80" s="239"/>
      <c r="DC80" s="239"/>
      <c r="DD80" s="239"/>
      <c r="DE80" s="239"/>
      <c r="DF80" s="239"/>
      <c r="DG80" s="239"/>
      <c r="DH80" s="239"/>
      <c r="DI80" s="239"/>
      <c r="DJ80" s="239"/>
      <c r="DK80" s="239"/>
      <c r="DL80" s="239"/>
      <c r="DM80" s="239"/>
      <c r="DN80" s="239"/>
      <c r="DO80" s="239"/>
      <c r="DP80" s="239"/>
      <c r="DQ80" s="239"/>
      <c r="DR80" s="239"/>
      <c r="DS80" s="239"/>
      <c r="DT80" s="239"/>
      <c r="DU80" s="239"/>
      <c r="DV80" s="239"/>
      <c r="DW80" s="239"/>
      <c r="DX80" s="239"/>
      <c r="DY80" s="239"/>
      <c r="DZ80" s="239"/>
      <c r="EA80" s="239"/>
      <c r="EB80" s="239"/>
      <c r="EC80" s="239"/>
      <c r="ED80" s="239"/>
      <c r="EE80" s="239"/>
      <c r="EF80" s="239"/>
      <c r="EI80" s="596">
        <f t="shared" si="80"/>
        <v>660.2834696077757</v>
      </c>
      <c r="EJ80" s="233">
        <f t="shared" si="71"/>
        <v>0</v>
      </c>
      <c r="EK80" s="233">
        <f t="shared" si="72"/>
        <v>0</v>
      </c>
      <c r="EL80" s="73">
        <f t="shared" si="73"/>
      </c>
      <c r="EP80" s="162">
        <f t="shared" si="74"/>
        <v>0</v>
      </c>
      <c r="EQ80" s="162">
        <f t="shared" si="87"/>
        <v>0</v>
      </c>
      <c r="ER80" s="162">
        <f t="shared" si="87"/>
        <v>0</v>
      </c>
      <c r="ES80" s="162">
        <f t="shared" si="87"/>
        <v>0</v>
      </c>
      <c r="ET80" s="162">
        <f t="shared" si="87"/>
        <v>0</v>
      </c>
      <c r="EU80" s="162">
        <f t="shared" si="87"/>
        <v>0</v>
      </c>
      <c r="EV80" s="162">
        <f t="shared" si="87"/>
        <v>0</v>
      </c>
      <c r="EW80" s="162">
        <f t="shared" si="87"/>
        <v>0</v>
      </c>
      <c r="EX80" s="162">
        <f t="shared" si="87"/>
        <v>0</v>
      </c>
      <c r="EY80" s="162">
        <f t="shared" si="87"/>
        <v>0</v>
      </c>
      <c r="EZ80" s="162">
        <f t="shared" si="87"/>
        <v>0</v>
      </c>
      <c r="FA80" s="162">
        <f t="shared" si="87"/>
        <v>0</v>
      </c>
      <c r="FB80" s="162">
        <f t="shared" si="43"/>
        <v>0</v>
      </c>
      <c r="FC80" s="162">
        <f t="shared" si="75"/>
        <v>0</v>
      </c>
      <c r="FD80" s="162">
        <f t="shared" si="44"/>
        <v>0</v>
      </c>
      <c r="FE80" s="163">
        <f t="shared" si="82"/>
        <v>100</v>
      </c>
      <c r="FF80" s="164"/>
      <c r="FG80" s="164"/>
      <c r="FH80" s="164"/>
      <c r="FI80" s="164"/>
      <c r="FJ80" s="164"/>
      <c r="FK80" s="164"/>
      <c r="FL80" s="165">
        <f t="shared" si="83"/>
        <v>129.37283614936095</v>
      </c>
      <c r="FM80" s="165">
        <f t="shared" si="84"/>
        <v>505.96117942049443</v>
      </c>
      <c r="FN80" s="162">
        <f t="shared" si="85"/>
        <v>1</v>
      </c>
      <c r="FO80" s="164"/>
    </row>
    <row r="81" spans="1:171" ht="12.75">
      <c r="A81" s="239"/>
      <c r="B81" s="166" t="s">
        <v>18</v>
      </c>
      <c r="C81" s="114">
        <v>1</v>
      </c>
      <c r="D81" s="233">
        <f t="shared" si="28"/>
        <v>25</v>
      </c>
      <c r="E81" s="157">
        <v>1</v>
      </c>
      <c r="F81" s="157">
        <v>1</v>
      </c>
      <c r="G81" s="114">
        <v>1</v>
      </c>
      <c r="H81" s="114">
        <v>1</v>
      </c>
      <c r="I81" s="665">
        <f t="shared" si="29"/>
      </c>
      <c r="J81" s="464">
        <f t="shared" si="52"/>
        <v>13.038223250637696</v>
      </c>
      <c r="K81" s="195">
        <f t="shared" si="53"/>
        <v>0.001900927780989419</v>
      </c>
      <c r="L81" s="194">
        <f t="shared" si="54"/>
        <v>0.001900927780989419</v>
      </c>
      <c r="M81" s="71">
        <f t="shared" si="55"/>
        <v>0.9980990722190106</v>
      </c>
      <c r="N81" s="71">
        <f t="shared" si="76"/>
        <v>0</v>
      </c>
      <c r="O81" s="73">
        <f t="shared" si="77"/>
        <v>100</v>
      </c>
      <c r="P81" s="73">
        <f t="shared" si="78"/>
        <v>0</v>
      </c>
      <c r="Q81" s="73"/>
      <c r="R81" s="71">
        <f t="shared" si="56"/>
        <v>0.001900927780989419</v>
      </c>
      <c r="S81" s="71">
        <f t="shared" si="57"/>
        <v>0</v>
      </c>
      <c r="T81" s="71">
        <f t="shared" si="79"/>
        <v>0.9980990722190106</v>
      </c>
      <c r="U81" s="601"/>
      <c r="V81" s="596">
        <f t="shared" si="86"/>
        <v>1</v>
      </c>
      <c r="W81" s="609">
        <f t="shared" si="58"/>
      </c>
      <c r="X81" s="605"/>
      <c r="Y81" s="671"/>
      <c r="Z81" s="25">
        <f t="shared" si="59"/>
        <v>-19.263625174941613</v>
      </c>
      <c r="AA81" s="25">
        <f t="shared" si="34"/>
        <v>97.78667437978272</v>
      </c>
      <c r="AB81" s="25">
        <f t="shared" si="35"/>
        <v>13.038223250637696</v>
      </c>
      <c r="AC81" s="25"/>
      <c r="AD81" s="203"/>
      <c r="AE81" s="203"/>
      <c r="AF81" s="203"/>
      <c r="AG81" s="620"/>
      <c r="AH81" s="69"/>
      <c r="AI81" s="69"/>
      <c r="AJ81" s="319" t="str">
        <f t="shared" si="36"/>
        <v> </v>
      </c>
      <c r="AK81" s="69">
        <f t="shared" si="60"/>
        <v>0</v>
      </c>
      <c r="AL81" s="320">
        <f t="shared" si="61"/>
        <v>0.9980990722190106</v>
      </c>
      <c r="AM81" s="69"/>
      <c r="AN81" s="244"/>
      <c r="AO81" s="239"/>
      <c r="AP81" s="239"/>
      <c r="AQ81" s="239"/>
      <c r="AR81" s="244"/>
      <c r="AS81" s="244"/>
      <c r="AT81" s="244"/>
      <c r="AU81" s="244"/>
      <c r="AV81" s="244"/>
      <c r="AW81" s="244"/>
      <c r="AX81" s="244"/>
      <c r="AY81" s="244"/>
      <c r="AZ81" s="321" t="str">
        <f t="shared" si="37"/>
        <v> </v>
      </c>
      <c r="BA81" s="73">
        <f t="shared" si="38"/>
        <v>1</v>
      </c>
      <c r="BB81" s="322">
        <f t="shared" si="62"/>
        <v>0.001900927780989419</v>
      </c>
      <c r="BC81" s="323">
        <f t="shared" si="51"/>
        <v>0.001900927780989419</v>
      </c>
      <c r="BD81" s="235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319" t="str">
        <f t="shared" si="39"/>
        <v> </v>
      </c>
      <c r="BQ81" s="69">
        <f t="shared" si="63"/>
        <v>100</v>
      </c>
      <c r="BR81" s="320">
        <f t="shared" si="64"/>
        <v>100</v>
      </c>
      <c r="BS81" s="239"/>
      <c r="BT81" s="239"/>
      <c r="BU81" s="239"/>
      <c r="BV81" s="239"/>
      <c r="BW81" s="239"/>
      <c r="BX81" s="239"/>
      <c r="BY81" s="239"/>
      <c r="BZ81" s="239"/>
      <c r="CA81" s="239"/>
      <c r="CB81" s="239"/>
      <c r="CC81" s="239"/>
      <c r="CD81" s="319" t="str">
        <f t="shared" si="40"/>
        <v> </v>
      </c>
      <c r="CE81" s="69">
        <f t="shared" si="65"/>
        <v>0.001900927780989419</v>
      </c>
      <c r="CF81" s="320">
        <f t="shared" si="66"/>
        <v>0.001900927780989419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39"/>
      <c r="CS81" s="590">
        <f t="shared" si="67"/>
        <v>0.9980990722190106</v>
      </c>
      <c r="CT81" s="253">
        <f t="shared" si="68"/>
        <v>0</v>
      </c>
      <c r="CU81" s="253">
        <f t="shared" si="69"/>
        <v>0</v>
      </c>
      <c r="CV81" s="591">
        <f t="shared" si="70"/>
        <v>0</v>
      </c>
      <c r="CW81" s="239"/>
      <c r="CX81" s="239"/>
      <c r="CY81" s="239"/>
      <c r="CZ81" s="239"/>
      <c r="DA81" s="239"/>
      <c r="DB81" s="239"/>
      <c r="DC81" s="239"/>
      <c r="DD81" s="239"/>
      <c r="DE81" s="239"/>
      <c r="DF81" s="239"/>
      <c r="DG81" s="239"/>
      <c r="DH81" s="239"/>
      <c r="DI81" s="239"/>
      <c r="DJ81" s="239"/>
      <c r="DK81" s="239"/>
      <c r="DL81" s="239"/>
      <c r="DM81" s="239"/>
      <c r="DN81" s="239"/>
      <c r="DO81" s="239"/>
      <c r="DP81" s="239"/>
      <c r="DQ81" s="239"/>
      <c r="DR81" s="239"/>
      <c r="DS81" s="239"/>
      <c r="DT81" s="239"/>
      <c r="DU81" s="239"/>
      <c r="DV81" s="239"/>
      <c r="DW81" s="239"/>
      <c r="DX81" s="239"/>
      <c r="DY81" s="239"/>
      <c r="DZ81" s="239"/>
      <c r="EA81" s="239"/>
      <c r="EB81" s="239"/>
      <c r="EC81" s="239"/>
      <c r="ED81" s="239"/>
      <c r="EE81" s="239"/>
      <c r="EF81" s="239"/>
      <c r="EI81" s="596">
        <f t="shared" si="80"/>
        <v>660.2834696077757</v>
      </c>
      <c r="EJ81" s="233">
        <f t="shared" si="71"/>
        <v>0</v>
      </c>
      <c r="EK81" s="233">
        <f t="shared" si="72"/>
        <v>0</v>
      </c>
      <c r="EL81" s="73">
        <f t="shared" si="73"/>
      </c>
      <c r="EP81" s="162">
        <f t="shared" si="74"/>
        <v>0</v>
      </c>
      <c r="EQ81" s="162">
        <f t="shared" si="87"/>
        <v>0</v>
      </c>
      <c r="ER81" s="162">
        <f t="shared" si="87"/>
        <v>0</v>
      </c>
      <c r="ES81" s="162">
        <f t="shared" si="87"/>
        <v>0</v>
      </c>
      <c r="ET81" s="162">
        <f t="shared" si="87"/>
        <v>0</v>
      </c>
      <c r="EU81" s="162">
        <f t="shared" si="87"/>
        <v>0</v>
      </c>
      <c r="EV81" s="162">
        <f t="shared" si="87"/>
        <v>0</v>
      </c>
      <c r="EW81" s="162">
        <f t="shared" si="87"/>
        <v>0</v>
      </c>
      <c r="EX81" s="162">
        <f t="shared" si="87"/>
        <v>0</v>
      </c>
      <c r="EY81" s="162">
        <f t="shared" si="87"/>
        <v>0</v>
      </c>
      <c r="EZ81" s="162">
        <f t="shared" si="87"/>
        <v>0</v>
      </c>
      <c r="FA81" s="162">
        <f t="shared" si="87"/>
        <v>0</v>
      </c>
      <c r="FB81" s="162">
        <f t="shared" si="43"/>
        <v>0</v>
      </c>
      <c r="FC81" s="162">
        <f t="shared" si="75"/>
        <v>0</v>
      </c>
      <c r="FD81" s="162">
        <f t="shared" si="44"/>
        <v>0</v>
      </c>
      <c r="FE81" s="163">
        <f t="shared" si="82"/>
        <v>100</v>
      </c>
      <c r="FF81" s="164"/>
      <c r="FG81" s="164"/>
      <c r="FH81" s="164"/>
      <c r="FI81" s="164"/>
      <c r="FJ81" s="164"/>
      <c r="FK81" s="164"/>
      <c r="FL81" s="165">
        <f t="shared" si="83"/>
        <v>130.37093522157997</v>
      </c>
      <c r="FM81" s="165">
        <f t="shared" si="84"/>
        <v>506.95927849271345</v>
      </c>
      <c r="FN81" s="162">
        <f t="shared" si="85"/>
        <v>1</v>
      </c>
      <c r="FO81" s="164"/>
    </row>
    <row r="82" spans="1:171" ht="12.75">
      <c r="A82" s="239"/>
      <c r="B82" s="166" t="s">
        <v>18</v>
      </c>
      <c r="C82" s="114">
        <v>1</v>
      </c>
      <c r="D82" s="233">
        <f t="shared" si="28"/>
        <v>26</v>
      </c>
      <c r="E82" s="157">
        <v>1</v>
      </c>
      <c r="F82" s="157">
        <v>1</v>
      </c>
      <c r="G82" s="114">
        <v>1</v>
      </c>
      <c r="H82" s="114">
        <v>1</v>
      </c>
      <c r="I82" s="665">
        <f t="shared" si="29"/>
      </c>
      <c r="J82" s="464">
        <f t="shared" si="52"/>
        <v>13.024601689629018</v>
      </c>
      <c r="K82" s="195">
        <f t="shared" si="53"/>
        <v>0.0018989418045841926</v>
      </c>
      <c r="L82" s="194">
        <f t="shared" si="54"/>
        <v>0.0018989418045841926</v>
      </c>
      <c r="M82" s="71">
        <f t="shared" si="55"/>
        <v>0.9981010581954158</v>
      </c>
      <c r="N82" s="71">
        <f t="shared" si="76"/>
        <v>0</v>
      </c>
      <c r="O82" s="73">
        <f t="shared" si="77"/>
        <v>100</v>
      </c>
      <c r="P82" s="73">
        <f t="shared" si="78"/>
        <v>0</v>
      </c>
      <c r="Q82" s="73"/>
      <c r="R82" s="71">
        <f t="shared" si="56"/>
        <v>0.0018989418045841926</v>
      </c>
      <c r="S82" s="71">
        <f t="shared" si="57"/>
        <v>0</v>
      </c>
      <c r="T82" s="71">
        <f t="shared" si="79"/>
        <v>0.9981010581954158</v>
      </c>
      <c r="U82" s="601"/>
      <c r="V82" s="596">
        <f t="shared" si="86"/>
        <v>1</v>
      </c>
      <c r="W82" s="609">
        <f t="shared" si="58"/>
      </c>
      <c r="X82" s="605"/>
      <c r="Y82" s="671"/>
      <c r="Z82" s="25">
        <f t="shared" si="59"/>
        <v>-19.030590933722614</v>
      </c>
      <c r="AA82" s="25">
        <f t="shared" si="34"/>
        <v>97.68451267221764</v>
      </c>
      <c r="AB82" s="25">
        <f t="shared" si="35"/>
        <v>13.024601689629018</v>
      </c>
      <c r="AC82" s="25"/>
      <c r="AD82" s="203"/>
      <c r="AE82" s="203"/>
      <c r="AF82" s="203"/>
      <c r="AG82" s="620"/>
      <c r="AH82" s="69"/>
      <c r="AI82" s="69"/>
      <c r="AJ82" s="319" t="str">
        <f t="shared" si="36"/>
        <v> </v>
      </c>
      <c r="AK82" s="69">
        <f t="shared" si="60"/>
        <v>0</v>
      </c>
      <c r="AL82" s="320">
        <f t="shared" si="61"/>
        <v>0.9981010581954158</v>
      </c>
      <c r="AM82" s="69"/>
      <c r="AN82" s="244"/>
      <c r="AO82" s="239"/>
      <c r="AP82" s="239"/>
      <c r="AQ82" s="239"/>
      <c r="AR82" s="244"/>
      <c r="AS82" s="244"/>
      <c r="AT82" s="244"/>
      <c r="AU82" s="244"/>
      <c r="AV82" s="244"/>
      <c r="AW82" s="244"/>
      <c r="AX82" s="244"/>
      <c r="AY82" s="244"/>
      <c r="AZ82" s="321" t="str">
        <f t="shared" si="37"/>
        <v> </v>
      </c>
      <c r="BA82" s="73">
        <f t="shared" si="38"/>
        <v>1</v>
      </c>
      <c r="BB82" s="322">
        <f t="shared" si="62"/>
        <v>0.0018989418045841926</v>
      </c>
      <c r="BC82" s="323">
        <f t="shared" si="51"/>
        <v>0.0018989418045841926</v>
      </c>
      <c r="BD82" s="235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39"/>
      <c r="BP82" s="319" t="str">
        <f t="shared" si="39"/>
        <v> </v>
      </c>
      <c r="BQ82" s="69">
        <f t="shared" si="63"/>
        <v>100</v>
      </c>
      <c r="BR82" s="320">
        <f t="shared" si="64"/>
        <v>100</v>
      </c>
      <c r="BS82" s="239"/>
      <c r="BT82" s="239"/>
      <c r="BU82" s="239"/>
      <c r="BV82" s="239"/>
      <c r="BW82" s="239"/>
      <c r="BX82" s="239"/>
      <c r="BY82" s="239"/>
      <c r="BZ82" s="239"/>
      <c r="CA82" s="239"/>
      <c r="CB82" s="239"/>
      <c r="CC82" s="239"/>
      <c r="CD82" s="319" t="str">
        <f t="shared" si="40"/>
        <v> </v>
      </c>
      <c r="CE82" s="69">
        <f t="shared" si="65"/>
        <v>0.0018989418045841926</v>
      </c>
      <c r="CF82" s="320">
        <f t="shared" si="66"/>
        <v>0.0018989418045841926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39"/>
      <c r="CS82" s="590">
        <f t="shared" si="67"/>
        <v>0.9981010581954158</v>
      </c>
      <c r="CT82" s="253">
        <f t="shared" si="68"/>
        <v>0</v>
      </c>
      <c r="CU82" s="253">
        <f t="shared" si="69"/>
        <v>0</v>
      </c>
      <c r="CV82" s="591">
        <f t="shared" si="70"/>
        <v>0</v>
      </c>
      <c r="CW82" s="239"/>
      <c r="CX82" s="239"/>
      <c r="CY82" s="239"/>
      <c r="CZ82" s="239"/>
      <c r="DA82" s="239"/>
      <c r="DB82" s="239"/>
      <c r="DC82" s="239"/>
      <c r="DD82" s="239"/>
      <c r="DE82" s="239"/>
      <c r="DF82" s="239"/>
      <c r="DG82" s="239"/>
      <c r="DH82" s="239"/>
      <c r="DI82" s="239"/>
      <c r="DJ82" s="239"/>
      <c r="DK82" s="239"/>
      <c r="DL82" s="239"/>
      <c r="DM82" s="239"/>
      <c r="DN82" s="239"/>
      <c r="DO82" s="239"/>
      <c r="DP82" s="239"/>
      <c r="DQ82" s="239"/>
      <c r="DR82" s="239"/>
      <c r="DS82" s="239"/>
      <c r="DT82" s="239"/>
      <c r="DU82" s="239"/>
      <c r="DV82" s="239"/>
      <c r="DW82" s="239"/>
      <c r="DX82" s="239"/>
      <c r="DY82" s="239"/>
      <c r="DZ82" s="239"/>
      <c r="EA82" s="239"/>
      <c r="EB82" s="239"/>
      <c r="EC82" s="239"/>
      <c r="ED82" s="239"/>
      <c r="EE82" s="239"/>
      <c r="EF82" s="239"/>
      <c r="EI82" s="596">
        <f t="shared" si="80"/>
        <v>660.2834696077757</v>
      </c>
      <c r="EJ82" s="233">
        <f t="shared" si="71"/>
        <v>0</v>
      </c>
      <c r="EK82" s="233">
        <f t="shared" si="72"/>
        <v>0</v>
      </c>
      <c r="EL82" s="73">
        <f t="shared" si="73"/>
      </c>
      <c r="EP82" s="162">
        <f t="shared" si="74"/>
        <v>0</v>
      </c>
      <c r="EQ82" s="162">
        <f t="shared" si="87"/>
        <v>0</v>
      </c>
      <c r="ER82" s="162">
        <f t="shared" si="87"/>
        <v>0</v>
      </c>
      <c r="ES82" s="162">
        <f t="shared" si="87"/>
        <v>0</v>
      </c>
      <c r="ET82" s="162">
        <f t="shared" si="87"/>
        <v>0</v>
      </c>
      <c r="EU82" s="162">
        <f t="shared" si="87"/>
        <v>0</v>
      </c>
      <c r="EV82" s="162">
        <f t="shared" si="87"/>
        <v>0</v>
      </c>
      <c r="EW82" s="162">
        <f t="shared" si="87"/>
        <v>0</v>
      </c>
      <c r="EX82" s="162">
        <f t="shared" si="87"/>
        <v>0</v>
      </c>
      <c r="EY82" s="162">
        <f t="shared" si="87"/>
        <v>0</v>
      </c>
      <c r="EZ82" s="162">
        <f t="shared" si="87"/>
        <v>0</v>
      </c>
      <c r="FA82" s="162">
        <f t="shared" si="87"/>
        <v>0</v>
      </c>
      <c r="FB82" s="162">
        <f t="shared" si="43"/>
        <v>0</v>
      </c>
      <c r="FC82" s="162">
        <f t="shared" si="75"/>
        <v>0</v>
      </c>
      <c r="FD82" s="162">
        <f t="shared" si="44"/>
        <v>0</v>
      </c>
      <c r="FE82" s="163">
        <f t="shared" si="82"/>
        <v>100</v>
      </c>
      <c r="FF82" s="164"/>
      <c r="FG82" s="164"/>
      <c r="FH82" s="164"/>
      <c r="FI82" s="164"/>
      <c r="FJ82" s="164"/>
      <c r="FK82" s="164"/>
      <c r="FL82" s="165">
        <f t="shared" si="83"/>
        <v>131.36903627977537</v>
      </c>
      <c r="FM82" s="165">
        <f t="shared" si="84"/>
        <v>507.95737955090885</v>
      </c>
      <c r="FN82" s="162">
        <f t="shared" si="85"/>
        <v>1</v>
      </c>
      <c r="FO82" s="164"/>
    </row>
    <row r="83" spans="1:171" ht="12.75">
      <c r="A83" s="239"/>
      <c r="B83" s="166" t="s">
        <v>18</v>
      </c>
      <c r="C83" s="114">
        <v>1</v>
      </c>
      <c r="D83" s="233">
        <f t="shared" si="28"/>
        <v>27</v>
      </c>
      <c r="E83" s="157">
        <v>1</v>
      </c>
      <c r="F83" s="157">
        <v>1</v>
      </c>
      <c r="G83" s="114">
        <v>1</v>
      </c>
      <c r="H83" s="114">
        <v>1</v>
      </c>
      <c r="I83" s="665">
        <f t="shared" si="29"/>
      </c>
      <c r="J83" s="464">
        <f t="shared" si="52"/>
        <v>13.010693440181667</v>
      </c>
      <c r="K83" s="195">
        <f t="shared" si="53"/>
        <v>0.0018969140299977965</v>
      </c>
      <c r="L83" s="194">
        <f t="shared" si="54"/>
        <v>0.0018969140299977965</v>
      </c>
      <c r="M83" s="71">
        <f t="shared" si="55"/>
        <v>0.9981030859700022</v>
      </c>
      <c r="N83" s="71">
        <f t="shared" si="76"/>
        <v>0</v>
      </c>
      <c r="O83" s="73">
        <f t="shared" si="77"/>
        <v>100</v>
      </c>
      <c r="P83" s="73">
        <f t="shared" si="78"/>
        <v>0</v>
      </c>
      <c r="Q83" s="73"/>
      <c r="R83" s="71">
        <f t="shared" si="56"/>
        <v>0.0018969140299977965</v>
      </c>
      <c r="S83" s="71">
        <f t="shared" si="57"/>
        <v>0</v>
      </c>
      <c r="T83" s="71">
        <f t="shared" si="79"/>
        <v>0.9981030859700022</v>
      </c>
      <c r="U83" s="601"/>
      <c r="V83" s="596">
        <f t="shared" si="86"/>
        <v>1</v>
      </c>
      <c r="W83" s="609">
        <f t="shared" si="58"/>
      </c>
      <c r="X83" s="605"/>
      <c r="Y83" s="671"/>
      <c r="Z83" s="25">
        <f t="shared" si="59"/>
        <v>-18.791917517696163</v>
      </c>
      <c r="AA83" s="25">
        <f t="shared" si="34"/>
        <v>97.58020080136251</v>
      </c>
      <c r="AB83" s="25">
        <f t="shared" si="35"/>
        <v>13.010693440181667</v>
      </c>
      <c r="AC83" s="25"/>
      <c r="AD83" s="203"/>
      <c r="AE83" s="203"/>
      <c r="AF83" s="203"/>
      <c r="AG83" s="620"/>
      <c r="AH83" s="69"/>
      <c r="AI83" s="69"/>
      <c r="AJ83" s="319" t="str">
        <f t="shared" si="36"/>
        <v> </v>
      </c>
      <c r="AK83" s="69">
        <f t="shared" si="60"/>
        <v>0</v>
      </c>
      <c r="AL83" s="320">
        <f t="shared" si="61"/>
        <v>0.9981030859700022</v>
      </c>
      <c r="AM83" s="69"/>
      <c r="AN83" s="244"/>
      <c r="AO83" s="239"/>
      <c r="AP83" s="239"/>
      <c r="AQ83" s="239"/>
      <c r="AR83" s="244"/>
      <c r="AS83" s="244"/>
      <c r="AT83" s="244"/>
      <c r="AU83" s="244"/>
      <c r="AV83" s="244"/>
      <c r="AW83" s="244"/>
      <c r="AX83" s="244"/>
      <c r="AY83" s="244"/>
      <c r="AZ83" s="321" t="str">
        <f t="shared" si="37"/>
        <v> </v>
      </c>
      <c r="BA83" s="73">
        <f t="shared" si="38"/>
        <v>1</v>
      </c>
      <c r="BB83" s="322">
        <f t="shared" si="62"/>
        <v>0.0018969140299977965</v>
      </c>
      <c r="BC83" s="323">
        <f t="shared" si="51"/>
        <v>0.0018969140299977965</v>
      </c>
      <c r="BD83" s="235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319" t="str">
        <f t="shared" si="39"/>
        <v> </v>
      </c>
      <c r="BQ83" s="69">
        <f t="shared" si="63"/>
        <v>100</v>
      </c>
      <c r="BR83" s="320">
        <f t="shared" si="64"/>
        <v>100</v>
      </c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319" t="str">
        <f t="shared" si="40"/>
        <v> </v>
      </c>
      <c r="CE83" s="69">
        <f t="shared" si="65"/>
        <v>0.0018969140299977965</v>
      </c>
      <c r="CF83" s="320">
        <f t="shared" si="66"/>
        <v>0.0018969140299977965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39"/>
      <c r="CS83" s="590">
        <f t="shared" si="67"/>
        <v>0.9981030859700022</v>
      </c>
      <c r="CT83" s="253">
        <f t="shared" si="68"/>
        <v>0</v>
      </c>
      <c r="CU83" s="253">
        <f t="shared" si="69"/>
        <v>0</v>
      </c>
      <c r="CV83" s="591">
        <f t="shared" si="70"/>
        <v>0</v>
      </c>
      <c r="CW83" s="239"/>
      <c r="CX83" s="239"/>
      <c r="CY83" s="239"/>
      <c r="CZ83" s="239"/>
      <c r="DA83" s="239"/>
      <c r="DB83" s="239"/>
      <c r="DC83" s="239"/>
      <c r="DD83" s="239"/>
      <c r="DE83" s="239"/>
      <c r="DF83" s="239"/>
      <c r="DG83" s="239"/>
      <c r="DH83" s="239"/>
      <c r="DI83" s="239"/>
      <c r="DJ83" s="239"/>
      <c r="DK83" s="239"/>
      <c r="DL83" s="239"/>
      <c r="DM83" s="239"/>
      <c r="DN83" s="239"/>
      <c r="DO83" s="239"/>
      <c r="DP83" s="239"/>
      <c r="DQ83" s="239"/>
      <c r="DR83" s="239"/>
      <c r="DS83" s="239"/>
      <c r="DT83" s="239"/>
      <c r="DU83" s="239"/>
      <c r="DV83" s="239"/>
      <c r="DW83" s="239"/>
      <c r="DX83" s="239"/>
      <c r="DY83" s="239"/>
      <c r="DZ83" s="239"/>
      <c r="EA83" s="239"/>
      <c r="EB83" s="239"/>
      <c r="EC83" s="239"/>
      <c r="ED83" s="239"/>
      <c r="EE83" s="239"/>
      <c r="EF83" s="239"/>
      <c r="EI83" s="596">
        <f t="shared" si="80"/>
        <v>660.2834696077757</v>
      </c>
      <c r="EJ83" s="233">
        <f t="shared" si="71"/>
        <v>0</v>
      </c>
      <c r="EK83" s="233">
        <f t="shared" si="72"/>
        <v>0</v>
      </c>
      <c r="EL83" s="73">
        <f t="shared" si="73"/>
      </c>
      <c r="EP83" s="162">
        <f t="shared" si="74"/>
        <v>0</v>
      </c>
      <c r="EQ83" s="162">
        <f t="shared" si="87"/>
        <v>0</v>
      </c>
      <c r="ER83" s="162">
        <f t="shared" si="87"/>
        <v>0</v>
      </c>
      <c r="ES83" s="162">
        <f t="shared" si="87"/>
        <v>0</v>
      </c>
      <c r="ET83" s="162">
        <f t="shared" si="87"/>
        <v>0</v>
      </c>
      <c r="EU83" s="162">
        <f t="shared" si="87"/>
        <v>0</v>
      </c>
      <c r="EV83" s="162">
        <f t="shared" si="87"/>
        <v>0</v>
      </c>
      <c r="EW83" s="162">
        <f t="shared" si="87"/>
        <v>0</v>
      </c>
      <c r="EX83" s="162">
        <f t="shared" si="87"/>
        <v>0</v>
      </c>
      <c r="EY83" s="162">
        <f t="shared" si="87"/>
        <v>0</v>
      </c>
      <c r="EZ83" s="162">
        <f t="shared" si="87"/>
        <v>0</v>
      </c>
      <c r="FA83" s="162">
        <f t="shared" si="87"/>
        <v>0</v>
      </c>
      <c r="FB83" s="162">
        <f t="shared" si="43"/>
        <v>0</v>
      </c>
      <c r="FC83" s="162">
        <f t="shared" si="75"/>
        <v>0</v>
      </c>
      <c r="FD83" s="162">
        <f t="shared" si="44"/>
        <v>0</v>
      </c>
      <c r="FE83" s="163">
        <f t="shared" si="82"/>
        <v>100</v>
      </c>
      <c r="FF83" s="164"/>
      <c r="FG83" s="164"/>
      <c r="FH83" s="164"/>
      <c r="FI83" s="164"/>
      <c r="FJ83" s="164"/>
      <c r="FK83" s="164"/>
      <c r="FL83" s="165">
        <f t="shared" si="83"/>
        <v>132.36713936574537</v>
      </c>
      <c r="FM83" s="165">
        <f t="shared" si="84"/>
        <v>508.95548263687886</v>
      </c>
      <c r="FN83" s="162">
        <f t="shared" si="85"/>
        <v>1</v>
      </c>
      <c r="FO83" s="164"/>
    </row>
    <row r="84" spans="1:171" ht="12.75">
      <c r="A84" s="239"/>
      <c r="B84" s="166" t="s">
        <v>18</v>
      </c>
      <c r="C84" s="114">
        <v>1</v>
      </c>
      <c r="D84" s="233">
        <f t="shared" si="28"/>
        <v>28</v>
      </c>
      <c r="E84" s="157">
        <v>1</v>
      </c>
      <c r="F84" s="157">
        <v>1</v>
      </c>
      <c r="G84" s="114">
        <v>1</v>
      </c>
      <c r="H84" s="114">
        <v>1</v>
      </c>
      <c r="I84" s="665">
        <f t="shared" si="29"/>
      </c>
      <c r="J84" s="464">
        <f t="shared" si="52"/>
        <v>12.996504928034492</v>
      </c>
      <c r="K84" s="195">
        <f t="shared" si="53"/>
        <v>0.0018948453940806941</v>
      </c>
      <c r="L84" s="194">
        <f t="shared" si="54"/>
        <v>0.0018948453940806941</v>
      </c>
      <c r="M84" s="71">
        <f t="shared" si="55"/>
        <v>0.9981051546059193</v>
      </c>
      <c r="N84" s="71">
        <f t="shared" si="76"/>
        <v>0</v>
      </c>
      <c r="O84" s="73">
        <f t="shared" si="77"/>
        <v>100</v>
      </c>
      <c r="P84" s="73">
        <f t="shared" si="78"/>
        <v>0</v>
      </c>
      <c r="Q84" s="73"/>
      <c r="R84" s="71">
        <f t="shared" si="56"/>
        <v>0.0018948453940806941</v>
      </c>
      <c r="S84" s="71">
        <f t="shared" si="57"/>
        <v>0</v>
      </c>
      <c r="T84" s="71">
        <f t="shared" si="79"/>
        <v>0.9981051546059193</v>
      </c>
      <c r="U84" s="601"/>
      <c r="V84" s="596">
        <f t="shared" si="86"/>
        <v>1</v>
      </c>
      <c r="W84" s="609">
        <f t="shared" si="58"/>
      </c>
      <c r="X84" s="605"/>
      <c r="Y84" s="671"/>
      <c r="Z84" s="25">
        <f t="shared" si="59"/>
        <v>-18.547675650946424</v>
      </c>
      <c r="AA84" s="25">
        <f t="shared" si="34"/>
        <v>97.47378696025869</v>
      </c>
      <c r="AB84" s="25">
        <f t="shared" si="35"/>
        <v>12.996504928034492</v>
      </c>
      <c r="AC84" s="25"/>
      <c r="AD84" s="203"/>
      <c r="AE84" s="203"/>
      <c r="AF84" s="203"/>
      <c r="AG84" s="620"/>
      <c r="AH84" s="69"/>
      <c r="AI84" s="69"/>
      <c r="AJ84" s="319" t="str">
        <f t="shared" si="36"/>
        <v> </v>
      </c>
      <c r="AK84" s="69">
        <f t="shared" si="60"/>
        <v>0</v>
      </c>
      <c r="AL84" s="320">
        <f t="shared" si="61"/>
        <v>0.9981051546059193</v>
      </c>
      <c r="AM84" s="69"/>
      <c r="AN84" s="244"/>
      <c r="AO84" s="239"/>
      <c r="AP84" s="239"/>
      <c r="AQ84" s="239"/>
      <c r="AR84" s="244"/>
      <c r="AS84" s="244"/>
      <c r="AT84" s="244"/>
      <c r="AU84" s="244"/>
      <c r="AV84" s="244"/>
      <c r="AW84" s="244"/>
      <c r="AX84" s="244"/>
      <c r="AY84" s="244"/>
      <c r="AZ84" s="321" t="str">
        <f t="shared" si="37"/>
        <v> </v>
      </c>
      <c r="BA84" s="73">
        <f t="shared" si="38"/>
        <v>1</v>
      </c>
      <c r="BB84" s="322">
        <f t="shared" si="62"/>
        <v>0.0018948453940806941</v>
      </c>
      <c r="BC84" s="323">
        <f aca="true" t="shared" si="88" ref="BC84:BC94">R84</f>
        <v>0.0018948453940806941</v>
      </c>
      <c r="BD84" s="235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39"/>
      <c r="BP84" s="319" t="str">
        <f t="shared" si="39"/>
        <v> </v>
      </c>
      <c r="BQ84" s="69">
        <f t="shared" si="63"/>
        <v>100</v>
      </c>
      <c r="BR84" s="320">
        <f t="shared" si="64"/>
        <v>100</v>
      </c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319" t="str">
        <f t="shared" si="40"/>
        <v> </v>
      </c>
      <c r="CE84" s="69">
        <f t="shared" si="65"/>
        <v>0.0018948453940806941</v>
      </c>
      <c r="CF84" s="320">
        <f t="shared" si="66"/>
        <v>0.0018948453940806941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39"/>
      <c r="CS84" s="590">
        <f t="shared" si="67"/>
        <v>0.9981051546059193</v>
      </c>
      <c r="CT84" s="253">
        <f t="shared" si="68"/>
        <v>0</v>
      </c>
      <c r="CU84" s="253">
        <f t="shared" si="69"/>
        <v>0</v>
      </c>
      <c r="CV84" s="591">
        <f t="shared" si="70"/>
        <v>0</v>
      </c>
      <c r="CW84" s="239"/>
      <c r="CX84" s="239"/>
      <c r="CY84" s="239"/>
      <c r="CZ84" s="239"/>
      <c r="DA84" s="239"/>
      <c r="DB84" s="239"/>
      <c r="DC84" s="239"/>
      <c r="DD84" s="239"/>
      <c r="DE84" s="239"/>
      <c r="DF84" s="239"/>
      <c r="DG84" s="239"/>
      <c r="DH84" s="239"/>
      <c r="DI84" s="239"/>
      <c r="DJ84" s="239"/>
      <c r="DK84" s="239"/>
      <c r="DL84" s="239"/>
      <c r="DM84" s="239"/>
      <c r="DN84" s="239"/>
      <c r="DO84" s="239"/>
      <c r="DP84" s="239"/>
      <c r="DQ84" s="239"/>
      <c r="DR84" s="239"/>
      <c r="DS84" s="239"/>
      <c r="DT84" s="239"/>
      <c r="DU84" s="239"/>
      <c r="DV84" s="239"/>
      <c r="DW84" s="239"/>
      <c r="DX84" s="239"/>
      <c r="DY84" s="239"/>
      <c r="DZ84" s="239"/>
      <c r="EA84" s="239"/>
      <c r="EB84" s="239"/>
      <c r="EC84" s="239"/>
      <c r="ED84" s="239"/>
      <c r="EE84" s="239"/>
      <c r="EF84" s="239"/>
      <c r="EI84" s="596">
        <f t="shared" si="80"/>
        <v>660.2834696077757</v>
      </c>
      <c r="EJ84" s="233">
        <f t="shared" si="71"/>
        <v>0</v>
      </c>
      <c r="EK84" s="233">
        <f t="shared" si="72"/>
        <v>0</v>
      </c>
      <c r="EL84" s="73">
        <f t="shared" si="73"/>
      </c>
      <c r="EP84" s="162">
        <f t="shared" si="74"/>
        <v>0</v>
      </c>
      <c r="EQ84" s="162">
        <f t="shared" si="87"/>
        <v>0</v>
      </c>
      <c r="ER84" s="162">
        <f t="shared" si="87"/>
        <v>0</v>
      </c>
      <c r="ES84" s="162">
        <f t="shared" si="87"/>
        <v>0</v>
      </c>
      <c r="ET84" s="162">
        <f t="shared" si="87"/>
        <v>0</v>
      </c>
      <c r="EU84" s="162">
        <f t="shared" si="87"/>
        <v>0</v>
      </c>
      <c r="EV84" s="162">
        <f t="shared" si="87"/>
        <v>0</v>
      </c>
      <c r="EW84" s="162">
        <f t="shared" si="87"/>
        <v>0</v>
      </c>
      <c r="EX84" s="162">
        <f t="shared" si="87"/>
        <v>0</v>
      </c>
      <c r="EY84" s="162">
        <f t="shared" si="87"/>
        <v>0</v>
      </c>
      <c r="EZ84" s="162">
        <f t="shared" si="87"/>
        <v>0</v>
      </c>
      <c r="FA84" s="162">
        <f t="shared" si="87"/>
        <v>0</v>
      </c>
      <c r="FB84" s="162">
        <f t="shared" si="43"/>
        <v>0</v>
      </c>
      <c r="FC84" s="162">
        <f t="shared" si="75"/>
        <v>0</v>
      </c>
      <c r="FD84" s="162">
        <f t="shared" si="44"/>
        <v>0</v>
      </c>
      <c r="FE84" s="163">
        <f t="shared" si="82"/>
        <v>100</v>
      </c>
      <c r="FF84" s="164"/>
      <c r="FG84" s="164"/>
      <c r="FH84" s="164"/>
      <c r="FI84" s="164"/>
      <c r="FJ84" s="164"/>
      <c r="FK84" s="164"/>
      <c r="FL84" s="165">
        <f t="shared" si="83"/>
        <v>133.3652445203513</v>
      </c>
      <c r="FM84" s="165">
        <f t="shared" si="84"/>
        <v>509.9535877914848</v>
      </c>
      <c r="FN84" s="162">
        <f t="shared" si="85"/>
        <v>1</v>
      </c>
      <c r="FO84" s="164"/>
    </row>
    <row r="85" spans="1:171" ht="12.75">
      <c r="A85" s="239"/>
      <c r="B85" s="166" t="s">
        <v>18</v>
      </c>
      <c r="C85" s="114">
        <v>1</v>
      </c>
      <c r="D85" s="233">
        <f t="shared" si="28"/>
        <v>29</v>
      </c>
      <c r="E85" s="157">
        <v>1</v>
      </c>
      <c r="F85" s="157">
        <v>1</v>
      </c>
      <c r="G85" s="114">
        <v>1</v>
      </c>
      <c r="H85" s="114">
        <v>1</v>
      </c>
      <c r="I85" s="665">
        <f t="shared" si="29"/>
      </c>
      <c r="J85" s="464">
        <f t="shared" si="52"/>
        <v>12.982042597289226</v>
      </c>
      <c r="K85" s="195">
        <f t="shared" si="53"/>
        <v>0.0018927368363605927</v>
      </c>
      <c r="L85" s="194">
        <f t="shared" si="54"/>
        <v>0.0018927368363605927</v>
      </c>
      <c r="M85" s="71">
        <f t="shared" si="55"/>
        <v>0.9981072631636394</v>
      </c>
      <c r="N85" s="71">
        <f t="shared" si="76"/>
        <v>0</v>
      </c>
      <c r="O85" s="73">
        <f t="shared" si="77"/>
        <v>100</v>
      </c>
      <c r="P85" s="73">
        <f t="shared" si="78"/>
        <v>0</v>
      </c>
      <c r="Q85" s="73"/>
      <c r="R85" s="71">
        <f t="shared" si="56"/>
        <v>0.0018927368363605927</v>
      </c>
      <c r="S85" s="71">
        <f t="shared" si="57"/>
        <v>0</v>
      </c>
      <c r="T85" s="71">
        <f t="shared" si="79"/>
        <v>0.9981072631636394</v>
      </c>
      <c r="U85" s="601"/>
      <c r="V85" s="596">
        <f t="shared" si="86"/>
        <v>1</v>
      </c>
      <c r="W85" s="609">
        <f t="shared" si="58"/>
      </c>
      <c r="X85" s="605"/>
      <c r="Y85" s="671"/>
      <c r="Z85" s="25">
        <f t="shared" si="59"/>
        <v>-18.297937707609684</v>
      </c>
      <c r="AA85" s="25">
        <f t="shared" si="34"/>
        <v>97.3653194796692</v>
      </c>
      <c r="AB85" s="25">
        <f t="shared" si="35"/>
        <v>12.982042597289226</v>
      </c>
      <c r="AC85" s="25"/>
      <c r="AD85" s="203"/>
      <c r="AE85" s="203"/>
      <c r="AF85" s="203"/>
      <c r="AG85" s="620"/>
      <c r="AH85" s="69"/>
      <c r="AI85" s="69"/>
      <c r="AJ85" s="319" t="str">
        <f t="shared" si="36"/>
        <v> </v>
      </c>
      <c r="AK85" s="69">
        <f t="shared" si="60"/>
        <v>0</v>
      </c>
      <c r="AL85" s="320">
        <f t="shared" si="61"/>
        <v>0.9981072631636394</v>
      </c>
      <c r="AM85" s="69"/>
      <c r="AN85" s="244"/>
      <c r="AO85" s="239"/>
      <c r="AP85" s="239"/>
      <c r="AQ85" s="239"/>
      <c r="AR85" s="244"/>
      <c r="AS85" s="244"/>
      <c r="AT85" s="244"/>
      <c r="AU85" s="244"/>
      <c r="AV85" s="244"/>
      <c r="AW85" s="244"/>
      <c r="AX85" s="244"/>
      <c r="AY85" s="244"/>
      <c r="AZ85" s="321" t="str">
        <f t="shared" si="37"/>
        <v> </v>
      </c>
      <c r="BA85" s="73">
        <f t="shared" si="38"/>
        <v>1</v>
      </c>
      <c r="BB85" s="322">
        <f t="shared" si="62"/>
        <v>0.0018927368363605927</v>
      </c>
      <c r="BC85" s="323">
        <f t="shared" si="88"/>
        <v>0.0018927368363605927</v>
      </c>
      <c r="BD85" s="235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319" t="str">
        <f t="shared" si="39"/>
        <v> </v>
      </c>
      <c r="BQ85" s="69">
        <f t="shared" si="63"/>
        <v>100</v>
      </c>
      <c r="BR85" s="320">
        <f t="shared" si="64"/>
        <v>100</v>
      </c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39"/>
      <c r="CD85" s="319" t="str">
        <f t="shared" si="40"/>
        <v> </v>
      </c>
      <c r="CE85" s="69">
        <f t="shared" si="65"/>
        <v>0.0018927368363605927</v>
      </c>
      <c r="CF85" s="320">
        <f t="shared" si="66"/>
        <v>0.0018927368363605927</v>
      </c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39"/>
      <c r="CS85" s="590">
        <f t="shared" si="67"/>
        <v>0.9981072631636394</v>
      </c>
      <c r="CT85" s="253">
        <f t="shared" si="68"/>
        <v>0</v>
      </c>
      <c r="CU85" s="253">
        <f t="shared" si="69"/>
        <v>0</v>
      </c>
      <c r="CV85" s="591">
        <f t="shared" si="70"/>
        <v>0</v>
      </c>
      <c r="CW85" s="239"/>
      <c r="CX85" s="239"/>
      <c r="CY85" s="239"/>
      <c r="CZ85" s="239"/>
      <c r="DA85" s="239"/>
      <c r="DB85" s="239"/>
      <c r="DC85" s="239"/>
      <c r="DD85" s="239"/>
      <c r="DE85" s="239"/>
      <c r="DF85" s="239"/>
      <c r="DG85" s="239"/>
      <c r="DH85" s="239"/>
      <c r="DI85" s="239"/>
      <c r="DJ85" s="239"/>
      <c r="DK85" s="239"/>
      <c r="DL85" s="239"/>
      <c r="DM85" s="239"/>
      <c r="DN85" s="239"/>
      <c r="DO85" s="239"/>
      <c r="DP85" s="239"/>
      <c r="DQ85" s="239"/>
      <c r="DR85" s="239"/>
      <c r="DS85" s="239"/>
      <c r="DT85" s="239"/>
      <c r="DU85" s="239"/>
      <c r="DV85" s="239"/>
      <c r="DW85" s="239"/>
      <c r="DX85" s="239"/>
      <c r="DY85" s="239"/>
      <c r="DZ85" s="239"/>
      <c r="EA85" s="239"/>
      <c r="EB85" s="239"/>
      <c r="EC85" s="239"/>
      <c r="ED85" s="239"/>
      <c r="EE85" s="239"/>
      <c r="EF85" s="239"/>
      <c r="EI85" s="596">
        <f t="shared" si="80"/>
        <v>660.2834696077757</v>
      </c>
      <c r="EJ85" s="233">
        <f t="shared" si="71"/>
        <v>0</v>
      </c>
      <c r="EK85" s="233">
        <f t="shared" si="72"/>
        <v>0</v>
      </c>
      <c r="EL85" s="73">
        <f t="shared" si="73"/>
      </c>
      <c r="EP85" s="162">
        <f t="shared" si="74"/>
        <v>0</v>
      </c>
      <c r="EQ85" s="162">
        <f t="shared" si="87"/>
        <v>0</v>
      </c>
      <c r="ER85" s="162">
        <f t="shared" si="87"/>
        <v>0</v>
      </c>
      <c r="ES85" s="162">
        <f t="shared" si="87"/>
        <v>0</v>
      </c>
      <c r="ET85" s="162">
        <f t="shared" si="87"/>
        <v>0</v>
      </c>
      <c r="EU85" s="162">
        <f t="shared" si="87"/>
        <v>0</v>
      </c>
      <c r="EV85" s="162">
        <f t="shared" si="87"/>
        <v>0</v>
      </c>
      <c r="EW85" s="162">
        <f t="shared" si="87"/>
        <v>0</v>
      </c>
      <c r="EX85" s="162">
        <f t="shared" si="87"/>
        <v>0</v>
      </c>
      <c r="EY85" s="162">
        <f t="shared" si="87"/>
        <v>0</v>
      </c>
      <c r="EZ85" s="162">
        <f t="shared" si="87"/>
        <v>0</v>
      </c>
      <c r="FA85" s="162">
        <f t="shared" si="87"/>
        <v>0</v>
      </c>
      <c r="FB85" s="162">
        <f t="shared" si="43"/>
        <v>0</v>
      </c>
      <c r="FC85" s="162">
        <f t="shared" si="75"/>
        <v>0</v>
      </c>
      <c r="FD85" s="162">
        <f t="shared" si="44"/>
        <v>0</v>
      </c>
      <c r="FE85" s="163">
        <f t="shared" si="82"/>
        <v>100</v>
      </c>
      <c r="FF85" s="164"/>
      <c r="FG85" s="164"/>
      <c r="FH85" s="164"/>
      <c r="FI85" s="164"/>
      <c r="FJ85" s="164"/>
      <c r="FK85" s="164"/>
      <c r="FL85" s="165">
        <f t="shared" si="83"/>
        <v>134.36335178351493</v>
      </c>
      <c r="FM85" s="165">
        <f t="shared" si="84"/>
        <v>510.95169505464844</v>
      </c>
      <c r="FN85" s="162">
        <f t="shared" si="85"/>
        <v>1</v>
      </c>
      <c r="FO85" s="164"/>
    </row>
    <row r="86" spans="1:171" ht="12.75">
      <c r="A86" s="239"/>
      <c r="B86" s="166" t="s">
        <v>18</v>
      </c>
      <c r="C86" s="114">
        <v>1</v>
      </c>
      <c r="D86" s="233">
        <f t="shared" si="28"/>
        <v>30</v>
      </c>
      <c r="E86" s="157">
        <v>1</v>
      </c>
      <c r="F86" s="157">
        <v>1</v>
      </c>
      <c r="G86" s="114">
        <v>1</v>
      </c>
      <c r="H86" s="114">
        <v>1</v>
      </c>
      <c r="I86" s="665">
        <f t="shared" si="29"/>
      </c>
      <c r="J86" s="464">
        <f aca="true" t="shared" si="89" ref="J86:J94">AB86</f>
        <v>12.967312902818557</v>
      </c>
      <c r="K86" s="195">
        <f aca="true" t="shared" si="90" ref="K86:K94">16*((10*(E86/$K$13))^$K$15)*(J86/12)*(C86/30)</f>
        <v>0.0018905892979355697</v>
      </c>
      <c r="L86" s="194">
        <f aca="true" t="shared" si="91" ref="L86:L94">K86*G86</f>
        <v>0.0018905892979355697</v>
      </c>
      <c r="M86" s="71">
        <f aca="true" t="shared" si="92" ref="M86:M94">IF(FN86=1,F86-L86,"")</f>
        <v>0.9981094107020644</v>
      </c>
      <c r="N86" s="71">
        <f t="shared" si="76"/>
        <v>0</v>
      </c>
      <c r="O86" s="73">
        <f t="shared" si="77"/>
        <v>100</v>
      </c>
      <c r="P86" s="73">
        <f t="shared" si="78"/>
        <v>0</v>
      </c>
      <c r="Q86" s="73"/>
      <c r="R86" s="71">
        <f aca="true" t="shared" si="93" ref="R86:R94">IF(FN86=1,IF(AND(M86&gt;=0,P86&gt;=0),L86,F86+ABS(P86)),"")</f>
        <v>0.0018905892979355697</v>
      </c>
      <c r="S86" s="71">
        <f aca="true" t="shared" si="94" ref="S86:S94">IF(FN86=1,L86-R86,"")</f>
        <v>0</v>
      </c>
      <c r="T86" s="71">
        <f t="shared" si="79"/>
        <v>0.9981094107020644</v>
      </c>
      <c r="U86" s="601"/>
      <c r="V86" s="596">
        <f t="shared" si="86"/>
        <v>1</v>
      </c>
      <c r="W86" s="609">
        <f aca="true" t="shared" si="95" ref="W86:W94">IF(EK86&lt;&gt;0,EI86,"")</f>
      </c>
      <c r="X86" s="605"/>
      <c r="Y86" s="671"/>
      <c r="Z86" s="25">
        <f aca="true" t="shared" si="96" ref="Z86:Z94">23.45*SIN(RADIANS((360/365)*(D86-81)))</f>
        <v>-18.04277769042834</v>
      </c>
      <c r="AA86" s="25">
        <f t="shared" si="34"/>
        <v>97.25484677113919</v>
      </c>
      <c r="AB86" s="25">
        <f t="shared" si="35"/>
        <v>12.967312902818557</v>
      </c>
      <c r="AC86" s="25"/>
      <c r="AD86" s="203"/>
      <c r="AE86" s="203"/>
      <c r="AF86" s="203"/>
      <c r="AG86" s="620"/>
      <c r="AH86" s="69"/>
      <c r="AI86" s="69"/>
      <c r="AJ86" s="319" t="str">
        <f t="shared" si="36"/>
        <v> </v>
      </c>
      <c r="AK86" s="69">
        <f aca="true" t="shared" si="97" ref="AK86:AK94">IF(T86&lt;&gt;S86,S86*-1,0)</f>
        <v>0</v>
      </c>
      <c r="AL86" s="320">
        <f aca="true" t="shared" si="98" ref="AL86:AL94">IF(T86&lt;&gt;S86,T86,0)</f>
        <v>0.9981094107020644</v>
      </c>
      <c r="AM86" s="69"/>
      <c r="AN86" s="244"/>
      <c r="AO86" s="239"/>
      <c r="AP86" s="239"/>
      <c r="AQ86" s="239"/>
      <c r="AR86" s="244"/>
      <c r="AS86" s="244"/>
      <c r="AT86" s="244"/>
      <c r="AU86" s="244"/>
      <c r="AV86" s="244"/>
      <c r="AW86" s="244"/>
      <c r="AX86" s="244"/>
      <c r="AY86" s="244"/>
      <c r="AZ86" s="321" t="str">
        <f t="shared" si="37"/>
        <v> </v>
      </c>
      <c r="BA86" s="73">
        <f t="shared" si="38"/>
        <v>1</v>
      </c>
      <c r="BB86" s="322">
        <f aca="true" t="shared" si="99" ref="BB86:BB94">L86</f>
        <v>0.0018905892979355697</v>
      </c>
      <c r="BC86" s="323">
        <f t="shared" si="88"/>
        <v>0.0018905892979355697</v>
      </c>
      <c r="BD86" s="235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319" t="str">
        <f t="shared" si="39"/>
        <v> </v>
      </c>
      <c r="BQ86" s="69">
        <f aca="true" t="shared" si="100" ref="BQ86:BQ94">$C$13</f>
        <v>100</v>
      </c>
      <c r="BR86" s="320">
        <f aca="true" t="shared" si="101" ref="BR86:BR94">O86</f>
        <v>100</v>
      </c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319" t="str">
        <f t="shared" si="40"/>
        <v> </v>
      </c>
      <c r="CE86" s="69">
        <f aca="true" t="shared" si="102" ref="CE86:CE94">K86</f>
        <v>0.0018905892979355697</v>
      </c>
      <c r="CF86" s="320">
        <f aca="true" t="shared" si="103" ref="CF86:CF94">L86</f>
        <v>0.0018905892979355697</v>
      </c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590">
        <f aca="true" t="shared" si="104" ref="CS86:CS94">T86</f>
        <v>0.9981094107020644</v>
      </c>
      <c r="CT86" s="253">
        <f aca="true" t="shared" si="105" ref="CT86:CT94">-S86</f>
        <v>0</v>
      </c>
      <c r="CU86" s="253">
        <f aca="true" t="shared" si="106" ref="CU86:CU94">IF(P86&lt;0,P86,0)</f>
        <v>0</v>
      </c>
      <c r="CV86" s="591">
        <f aca="true" t="shared" si="107" ref="CV86:CV94">IF(P86&gt;0,P86,0)</f>
        <v>0</v>
      </c>
      <c r="CW86" s="239"/>
      <c r="CX86" s="239"/>
      <c r="CY86" s="239"/>
      <c r="CZ86" s="239"/>
      <c r="DA86" s="239"/>
      <c r="DB86" s="239"/>
      <c r="DC86" s="239"/>
      <c r="DD86" s="239"/>
      <c r="DE86" s="239"/>
      <c r="DF86" s="239"/>
      <c r="DG86" s="239"/>
      <c r="DH86" s="239"/>
      <c r="DI86" s="239"/>
      <c r="DJ86" s="239"/>
      <c r="DK86" s="239"/>
      <c r="DL86" s="239"/>
      <c r="DM86" s="239"/>
      <c r="DN86" s="239"/>
      <c r="DO86" s="239"/>
      <c r="DP86" s="239"/>
      <c r="DQ86" s="239"/>
      <c r="DR86" s="239"/>
      <c r="DS86" s="239"/>
      <c r="DT86" s="239"/>
      <c r="DU86" s="239"/>
      <c r="DV86" s="239"/>
      <c r="DW86" s="239"/>
      <c r="DX86" s="239"/>
      <c r="DY86" s="239"/>
      <c r="DZ86" s="239"/>
      <c r="EA86" s="239"/>
      <c r="EB86" s="239"/>
      <c r="EC86" s="239"/>
      <c r="ED86" s="239"/>
      <c r="EE86" s="239"/>
      <c r="EF86" s="239"/>
      <c r="EI86" s="596">
        <f t="shared" si="80"/>
        <v>660.2834696077757</v>
      </c>
      <c r="EJ86" s="233">
        <f aca="true" t="shared" si="108" ref="EJ86:EJ94">IF(OR(G86&lt;&gt;1,H86&lt;&gt;1),1,0)</f>
        <v>0</v>
      </c>
      <c r="EK86" s="233">
        <f aca="true" t="shared" si="109" ref="EK86:EK94">IF(OR(EK85+EJ86&lt;$EJ$95,EJ86=1),EK85+EJ86,0)</f>
        <v>0</v>
      </c>
      <c r="EL86" s="73">
        <f aca="true" t="shared" si="110" ref="EL86:EL94">IF(AND(W86&lt;&gt;"",W87=""),W86,"")</f>
      </c>
      <c r="EP86" s="162">
        <f aca="true" t="shared" si="111" ref="EP86:EP94">IF(M86&lt;0,1,0)</f>
        <v>0</v>
      </c>
      <c r="EQ86" s="162">
        <f t="shared" si="87"/>
        <v>0</v>
      </c>
      <c r="ER86" s="162">
        <f t="shared" si="87"/>
        <v>0</v>
      </c>
      <c r="ES86" s="162">
        <f t="shared" si="87"/>
        <v>0</v>
      </c>
      <c r="ET86" s="162">
        <f t="shared" si="87"/>
        <v>0</v>
      </c>
      <c r="EU86" s="162">
        <f t="shared" si="87"/>
        <v>0</v>
      </c>
      <c r="EV86" s="162">
        <f t="shared" si="87"/>
        <v>0</v>
      </c>
      <c r="EW86" s="162">
        <f t="shared" si="87"/>
        <v>0</v>
      </c>
      <c r="EX86" s="162">
        <f t="shared" si="87"/>
        <v>0</v>
      </c>
      <c r="EY86" s="162">
        <f t="shared" si="87"/>
        <v>0</v>
      </c>
      <c r="EZ86" s="162">
        <f t="shared" si="87"/>
        <v>0</v>
      </c>
      <c r="FA86" s="162">
        <f t="shared" si="87"/>
        <v>0</v>
      </c>
      <c r="FB86" s="162">
        <f t="shared" si="43"/>
        <v>0</v>
      </c>
      <c r="FC86" s="162">
        <f aca="true" t="shared" si="112" ref="FC86:FC94">IF(AND(FB86=1,FB85=0),M86,0)</f>
        <v>0</v>
      </c>
      <c r="FD86" s="162">
        <f t="shared" si="44"/>
        <v>0</v>
      </c>
      <c r="FE86" s="163">
        <f t="shared" si="82"/>
        <v>100</v>
      </c>
      <c r="FF86" s="164"/>
      <c r="FG86" s="164"/>
      <c r="FH86" s="164"/>
      <c r="FI86" s="164"/>
      <c r="FJ86" s="164"/>
      <c r="FK86" s="164"/>
      <c r="FL86" s="165">
        <f t="shared" si="83"/>
        <v>135.361461194217</v>
      </c>
      <c r="FM86" s="165">
        <f t="shared" si="84"/>
        <v>511.9498044653505</v>
      </c>
      <c r="FN86" s="162">
        <f t="shared" si="85"/>
        <v>1</v>
      </c>
      <c r="FO86" s="164"/>
    </row>
    <row r="87" spans="1:171" ht="12.75">
      <c r="A87" s="239"/>
      <c r="B87" s="166" t="s">
        <v>18</v>
      </c>
      <c r="C87" s="114">
        <v>1</v>
      </c>
      <c r="D87" s="233">
        <f aca="true" t="shared" si="113" ref="D87:D94">IF(D86+C86&gt;365,((D86+C86)-365),D86+C86)</f>
        <v>31</v>
      </c>
      <c r="E87" s="157">
        <v>1</v>
      </c>
      <c r="F87" s="157">
        <v>1</v>
      </c>
      <c r="G87" s="114">
        <v>1</v>
      </c>
      <c r="H87" s="114">
        <v>1</v>
      </c>
      <c r="I87" s="665">
        <f aca="true" t="shared" si="114" ref="I87:I94">IF(W87&lt;&gt;"","CULT","")</f>
      </c>
      <c r="J87" s="464">
        <f t="shared" si="89"/>
        <v>12.952322302955375</v>
      </c>
      <c r="K87" s="195">
        <f t="shared" si="90"/>
        <v>0.0018884037204081846</v>
      </c>
      <c r="L87" s="194">
        <f t="shared" si="91"/>
        <v>0.0018884037204081846</v>
      </c>
      <c r="M87" s="71">
        <f t="shared" si="92"/>
        <v>0.9981115962795918</v>
      </c>
      <c r="N87" s="71">
        <f aca="true" t="shared" si="115" ref="N87:N94">IF(FN87=1,IF(FD87=0,0,IF(M87&lt;0,N86+M87,IF(M87&gt;0,$EP$11*LN(O87/$EP$11)))),"")</f>
        <v>0</v>
      </c>
      <c r="O87" s="73">
        <f aca="true" t="shared" si="116" ref="O87:O94">IF(FN87=1,IF(FE87&gt;$EP$11,$EP$11,FE87),"")</f>
        <v>100</v>
      </c>
      <c r="P87" s="73">
        <f aca="true" t="shared" si="117" ref="P87:P94">IF(FN87=1,O87-O86,"")</f>
        <v>0</v>
      </c>
      <c r="Q87" s="73"/>
      <c r="R87" s="71">
        <f t="shared" si="93"/>
        <v>0.0018884037204081846</v>
      </c>
      <c r="S87" s="71">
        <f t="shared" si="94"/>
        <v>0</v>
      </c>
      <c r="T87" s="71">
        <f aca="true" t="shared" si="118" ref="T87:T94">IF(FN87=1,IF(O87&lt;$EP$11,0,IF(O87=$EP$11,M87-P87)),"")</f>
        <v>0.9981115962795918</v>
      </c>
      <c r="U87" s="601"/>
      <c r="V87" s="596">
        <f t="shared" si="86"/>
        <v>1</v>
      </c>
      <c r="W87" s="609">
        <f t="shared" si="95"/>
      </c>
      <c r="X87" s="605"/>
      <c r="Y87" s="671"/>
      <c r="Z87" s="25">
        <f t="shared" si="96"/>
        <v>-17.782271208822287</v>
      </c>
      <c r="AA87" s="25">
        <f aca="true" t="shared" si="119" ref="AA87:AA94">ACOS(-TAN(RADIANS($N$11))*TAN(RADIANS(Z87)))*180/PI()</f>
        <v>97.14241727216532</v>
      </c>
      <c r="AB87" s="25">
        <f aca="true" t="shared" si="120" ref="AB87:AB94">2*AA87/15</f>
        <v>12.952322302955375</v>
      </c>
      <c r="AC87" s="25"/>
      <c r="AD87" s="203"/>
      <c r="AE87" s="203"/>
      <c r="AF87" s="203"/>
      <c r="AG87" s="620"/>
      <c r="AH87" s="69"/>
      <c r="AI87" s="69"/>
      <c r="AJ87" s="319" t="str">
        <f aca="true" t="shared" si="121" ref="AJ87:AJ94">B87</f>
        <v> </v>
      </c>
      <c r="AK87" s="69">
        <f t="shared" si="97"/>
        <v>0</v>
      </c>
      <c r="AL87" s="320">
        <f t="shared" si="98"/>
        <v>0.9981115962795918</v>
      </c>
      <c r="AM87" s="69"/>
      <c r="AN87" s="244"/>
      <c r="AO87" s="239"/>
      <c r="AP87" s="239"/>
      <c r="AQ87" s="239"/>
      <c r="AR87" s="244"/>
      <c r="AS87" s="244"/>
      <c r="AT87" s="244"/>
      <c r="AU87" s="244"/>
      <c r="AV87" s="244"/>
      <c r="AW87" s="244"/>
      <c r="AX87" s="244"/>
      <c r="AY87" s="244"/>
      <c r="AZ87" s="321" t="str">
        <f aca="true" t="shared" si="122" ref="AZ87:AZ94">B87</f>
        <v> </v>
      </c>
      <c r="BA87" s="73">
        <f aca="true" t="shared" si="123" ref="BA87:BA94">F87</f>
        <v>1</v>
      </c>
      <c r="BB87" s="322">
        <f t="shared" si="99"/>
        <v>0.0018884037204081846</v>
      </c>
      <c r="BC87" s="323">
        <f t="shared" si="88"/>
        <v>0.0018884037204081846</v>
      </c>
      <c r="BD87" s="235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319" t="str">
        <f aca="true" t="shared" si="124" ref="BP87:BP94">B87</f>
        <v> </v>
      </c>
      <c r="BQ87" s="69">
        <f t="shared" si="100"/>
        <v>100</v>
      </c>
      <c r="BR87" s="320">
        <f t="shared" si="101"/>
        <v>100</v>
      </c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319" t="str">
        <f aca="true" t="shared" si="125" ref="CD87:CD94">B87</f>
        <v> </v>
      </c>
      <c r="CE87" s="69">
        <f t="shared" si="102"/>
        <v>0.0018884037204081846</v>
      </c>
      <c r="CF87" s="320">
        <f t="shared" si="103"/>
        <v>0.0018884037204081846</v>
      </c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590">
        <f t="shared" si="104"/>
        <v>0.9981115962795918</v>
      </c>
      <c r="CT87" s="253">
        <f t="shared" si="105"/>
        <v>0</v>
      </c>
      <c r="CU87" s="253">
        <f t="shared" si="106"/>
        <v>0</v>
      </c>
      <c r="CV87" s="591">
        <f t="shared" si="107"/>
        <v>0</v>
      </c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I87" s="596">
        <f aca="true" t="shared" si="126" ref="EI87:EI94">(1-(H87*(1-V87)))*EI86</f>
        <v>660.2834696077757</v>
      </c>
      <c r="EJ87" s="233">
        <f t="shared" si="108"/>
        <v>0</v>
      </c>
      <c r="EK87" s="233">
        <f t="shared" si="109"/>
        <v>0</v>
      </c>
      <c r="EL87" s="73">
        <f t="shared" si="110"/>
      </c>
      <c r="EP87" s="162">
        <f t="shared" si="111"/>
        <v>0</v>
      </c>
      <c r="EQ87" s="162">
        <f aca="true" t="shared" si="127" ref="EQ87:FA94">IF(AND(EP86=1,EP87=0),1,0)</f>
        <v>0</v>
      </c>
      <c r="ER87" s="162">
        <f t="shared" si="127"/>
        <v>0</v>
      </c>
      <c r="ES87" s="162">
        <f t="shared" si="127"/>
        <v>0</v>
      </c>
      <c r="ET87" s="162">
        <f t="shared" si="127"/>
        <v>0</v>
      </c>
      <c r="EU87" s="162">
        <f t="shared" si="127"/>
        <v>0</v>
      </c>
      <c r="EV87" s="162">
        <f t="shared" si="127"/>
        <v>0</v>
      </c>
      <c r="EW87" s="162">
        <f t="shared" si="127"/>
        <v>0</v>
      </c>
      <c r="EX87" s="162">
        <f t="shared" si="127"/>
        <v>0</v>
      </c>
      <c r="EY87" s="162">
        <f t="shared" si="127"/>
        <v>0</v>
      </c>
      <c r="EZ87" s="162">
        <f t="shared" si="127"/>
        <v>0</v>
      </c>
      <c r="FA87" s="162">
        <f t="shared" si="127"/>
        <v>0</v>
      </c>
      <c r="FB87" s="162">
        <f aca="true" t="shared" si="128" ref="FB87:FB94">IF(AND($FM$96=1,OR(FL87=$FL$95,FB86=1)),1,0)</f>
        <v>0</v>
      </c>
      <c r="FC87" s="162">
        <f t="shared" si="112"/>
        <v>0</v>
      </c>
      <c r="FD87" s="162">
        <f aca="true" t="shared" si="129" ref="FD87:FD94">IF(OR(EP87=1,EQ87=1,ER87=1,ES87=1,ET87=1,EU87=1,EV87=1,EW87=1,EX87=1,EY87=1,EZ87=1,FA87=1,FB87=1),1,0)</f>
        <v>0</v>
      </c>
      <c r="FE87" s="163">
        <f aca="true" t="shared" si="130" ref="FE87:FE94">IF(FN87=1,IF(FD87=0,IF($FM$96=1,$FC$95,$EP$11),IF(M87&lt;0,$EP$11*EXP(N87/$EP$11),IF(M87&gt;0,FE86+ABS(M87)))),"")</f>
        <v>100</v>
      </c>
      <c r="FF87" s="164"/>
      <c r="FG87" s="164"/>
      <c r="FH87" s="164"/>
      <c r="FI87" s="164"/>
      <c r="FJ87" s="164"/>
      <c r="FK87" s="164"/>
      <c r="FL87" s="165">
        <f aca="true" t="shared" si="131" ref="FL87:FL94">IF(FN87=1,IF(M87&lt;0,0,M87+FL86),"")</f>
        <v>136.35957279049657</v>
      </c>
      <c r="FM87" s="165">
        <f aca="true" t="shared" si="132" ref="FM87:FM94">IF(FN87=1,IF(M87&lt;0,FM86,FM86+M87),"")</f>
        <v>512.94791606163</v>
      </c>
      <c r="FN87" s="162">
        <f aca="true" t="shared" si="133" ref="FN87:FN94">IF(OR(B87="fim",FN86=0),0,1)</f>
        <v>1</v>
      </c>
      <c r="FO87" s="164"/>
    </row>
    <row r="88" spans="1:171" ht="12.75">
      <c r="A88" s="239"/>
      <c r="B88" s="166" t="s">
        <v>18</v>
      </c>
      <c r="C88" s="114">
        <v>1</v>
      </c>
      <c r="D88" s="233">
        <f t="shared" si="113"/>
        <v>32</v>
      </c>
      <c r="E88" s="157">
        <v>1</v>
      </c>
      <c r="F88" s="157">
        <v>1</v>
      </c>
      <c r="G88" s="114">
        <v>1</v>
      </c>
      <c r="H88" s="114">
        <v>1</v>
      </c>
      <c r="I88" s="665">
        <f t="shared" si="114"/>
      </c>
      <c r="J88" s="464">
        <f t="shared" si="89"/>
        <v>12.937077252475687</v>
      </c>
      <c r="K88" s="195">
        <f t="shared" si="90"/>
        <v>0.0018861810448624191</v>
      </c>
      <c r="L88" s="194">
        <f t="shared" si="91"/>
        <v>0.0018861810448624191</v>
      </c>
      <c r="M88" s="71">
        <f t="shared" si="92"/>
        <v>0.9981138189551376</v>
      </c>
      <c r="N88" s="71">
        <f t="shared" si="115"/>
        <v>0</v>
      </c>
      <c r="O88" s="73">
        <f t="shared" si="116"/>
        <v>100</v>
      </c>
      <c r="P88" s="73">
        <f t="shared" si="117"/>
        <v>0</v>
      </c>
      <c r="Q88" s="73"/>
      <c r="R88" s="71">
        <f t="shared" si="93"/>
        <v>0.0018861810448624191</v>
      </c>
      <c r="S88" s="71">
        <f t="shared" si="94"/>
        <v>0</v>
      </c>
      <c r="T88" s="71">
        <f t="shared" si="118"/>
        <v>0.9981138189551376</v>
      </c>
      <c r="U88" s="601"/>
      <c r="V88" s="596">
        <f t="shared" si="86"/>
        <v>1</v>
      </c>
      <c r="W88" s="609">
        <f t="shared" si="95"/>
      </c>
      <c r="X88" s="605"/>
      <c r="Y88" s="671"/>
      <c r="Z88" s="25">
        <f t="shared" si="96"/>
        <v>-17.51649545648422</v>
      </c>
      <c r="AA88" s="25">
        <f t="shared" si="119"/>
        <v>97.02807939356765</v>
      </c>
      <c r="AB88" s="25">
        <f t="shared" si="120"/>
        <v>12.937077252475687</v>
      </c>
      <c r="AC88" s="25"/>
      <c r="AD88" s="203"/>
      <c r="AE88" s="203"/>
      <c r="AF88" s="203"/>
      <c r="AG88" s="620"/>
      <c r="AH88" s="69"/>
      <c r="AI88" s="69"/>
      <c r="AJ88" s="319" t="str">
        <f t="shared" si="121"/>
        <v> </v>
      </c>
      <c r="AK88" s="69">
        <f t="shared" si="97"/>
        <v>0</v>
      </c>
      <c r="AL88" s="320">
        <f t="shared" si="98"/>
        <v>0.9981138189551376</v>
      </c>
      <c r="AM88" s="69"/>
      <c r="AN88" s="244"/>
      <c r="AO88" s="239"/>
      <c r="AP88" s="239"/>
      <c r="AQ88" s="239"/>
      <c r="AR88" s="244"/>
      <c r="AS88" s="244"/>
      <c r="AT88" s="244"/>
      <c r="AU88" s="244"/>
      <c r="AV88" s="244"/>
      <c r="AW88" s="244"/>
      <c r="AX88" s="244"/>
      <c r="AY88" s="244"/>
      <c r="AZ88" s="321" t="str">
        <f t="shared" si="122"/>
        <v> </v>
      </c>
      <c r="BA88" s="73">
        <f t="shared" si="123"/>
        <v>1</v>
      </c>
      <c r="BB88" s="322">
        <f t="shared" si="99"/>
        <v>0.0018861810448624191</v>
      </c>
      <c r="BC88" s="323">
        <f t="shared" si="88"/>
        <v>0.0018861810448624191</v>
      </c>
      <c r="BD88" s="235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319" t="str">
        <f t="shared" si="124"/>
        <v> </v>
      </c>
      <c r="BQ88" s="69">
        <f t="shared" si="100"/>
        <v>100</v>
      </c>
      <c r="BR88" s="320">
        <f t="shared" si="101"/>
        <v>100</v>
      </c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  <c r="CC88" s="239"/>
      <c r="CD88" s="319" t="str">
        <f t="shared" si="125"/>
        <v> </v>
      </c>
      <c r="CE88" s="69">
        <f t="shared" si="102"/>
        <v>0.0018861810448624191</v>
      </c>
      <c r="CF88" s="320">
        <f t="shared" si="103"/>
        <v>0.0018861810448624191</v>
      </c>
      <c r="CG88" s="239"/>
      <c r="CH88" s="239"/>
      <c r="CI88" s="239"/>
      <c r="CJ88" s="239"/>
      <c r="CK88" s="239"/>
      <c r="CL88" s="239"/>
      <c r="CM88" s="239"/>
      <c r="CN88" s="239"/>
      <c r="CO88" s="239"/>
      <c r="CP88" s="239"/>
      <c r="CQ88" s="239"/>
      <c r="CR88" s="239"/>
      <c r="CS88" s="590">
        <f t="shared" si="104"/>
        <v>0.9981138189551376</v>
      </c>
      <c r="CT88" s="253">
        <f t="shared" si="105"/>
        <v>0</v>
      </c>
      <c r="CU88" s="253">
        <f t="shared" si="106"/>
        <v>0</v>
      </c>
      <c r="CV88" s="591">
        <f t="shared" si="107"/>
        <v>0</v>
      </c>
      <c r="CW88" s="239"/>
      <c r="CX88" s="239"/>
      <c r="CY88" s="239"/>
      <c r="CZ88" s="239"/>
      <c r="DA88" s="239"/>
      <c r="DB88" s="239"/>
      <c r="DC88" s="239"/>
      <c r="DD88" s="239"/>
      <c r="DE88" s="239"/>
      <c r="DF88" s="239"/>
      <c r="DG88" s="239"/>
      <c r="DH88" s="239"/>
      <c r="DI88" s="239"/>
      <c r="DJ88" s="239"/>
      <c r="DK88" s="239"/>
      <c r="DL88" s="239"/>
      <c r="DM88" s="239"/>
      <c r="DN88" s="239"/>
      <c r="DO88" s="239"/>
      <c r="DP88" s="239"/>
      <c r="DQ88" s="239"/>
      <c r="DR88" s="239"/>
      <c r="DS88" s="239"/>
      <c r="DT88" s="239"/>
      <c r="DU88" s="239"/>
      <c r="DV88" s="239"/>
      <c r="DW88" s="239"/>
      <c r="DX88" s="239"/>
      <c r="DY88" s="239"/>
      <c r="DZ88" s="239"/>
      <c r="EA88" s="239"/>
      <c r="EB88" s="239"/>
      <c r="EC88" s="239"/>
      <c r="ED88" s="239"/>
      <c r="EE88" s="239"/>
      <c r="EF88" s="239"/>
      <c r="EI88" s="596">
        <f t="shared" si="126"/>
        <v>660.2834696077757</v>
      </c>
      <c r="EJ88" s="233">
        <f t="shared" si="108"/>
        <v>0</v>
      </c>
      <c r="EK88" s="233">
        <f t="shared" si="109"/>
        <v>0</v>
      </c>
      <c r="EL88" s="73">
        <f t="shared" si="110"/>
      </c>
      <c r="EP88" s="162">
        <f t="shared" si="111"/>
        <v>0</v>
      </c>
      <c r="EQ88" s="162">
        <f t="shared" si="127"/>
        <v>0</v>
      </c>
      <c r="ER88" s="162">
        <f t="shared" si="127"/>
        <v>0</v>
      </c>
      <c r="ES88" s="162">
        <f t="shared" si="127"/>
        <v>0</v>
      </c>
      <c r="ET88" s="162">
        <f t="shared" si="127"/>
        <v>0</v>
      </c>
      <c r="EU88" s="162">
        <f t="shared" si="127"/>
        <v>0</v>
      </c>
      <c r="EV88" s="162">
        <f t="shared" si="127"/>
        <v>0</v>
      </c>
      <c r="EW88" s="162">
        <f t="shared" si="127"/>
        <v>0</v>
      </c>
      <c r="EX88" s="162">
        <f t="shared" si="127"/>
        <v>0</v>
      </c>
      <c r="EY88" s="162">
        <f t="shared" si="127"/>
        <v>0</v>
      </c>
      <c r="EZ88" s="162">
        <f t="shared" si="127"/>
        <v>0</v>
      </c>
      <c r="FA88" s="162">
        <f t="shared" si="127"/>
        <v>0</v>
      </c>
      <c r="FB88" s="162">
        <f t="shared" si="128"/>
        <v>0</v>
      </c>
      <c r="FC88" s="162">
        <f t="shared" si="112"/>
        <v>0</v>
      </c>
      <c r="FD88" s="162">
        <f t="shared" si="129"/>
        <v>0</v>
      </c>
      <c r="FE88" s="163">
        <f t="shared" si="130"/>
        <v>100</v>
      </c>
      <c r="FF88" s="164"/>
      <c r="FG88" s="164"/>
      <c r="FH88" s="164"/>
      <c r="FI88" s="164"/>
      <c r="FJ88" s="164"/>
      <c r="FK88" s="164"/>
      <c r="FL88" s="165">
        <f t="shared" si="131"/>
        <v>137.35768660945172</v>
      </c>
      <c r="FM88" s="165">
        <f t="shared" si="132"/>
        <v>513.9460298805852</v>
      </c>
      <c r="FN88" s="162">
        <f t="shared" si="133"/>
        <v>1</v>
      </c>
      <c r="FO88" s="164"/>
    </row>
    <row r="89" spans="1:171" ht="12.75">
      <c r="A89" s="239"/>
      <c r="B89" s="166" t="s">
        <v>18</v>
      </c>
      <c r="C89" s="114">
        <v>1</v>
      </c>
      <c r="D89" s="233">
        <f t="shared" si="113"/>
        <v>33</v>
      </c>
      <c r="E89" s="157">
        <v>1</v>
      </c>
      <c r="F89" s="157">
        <v>1</v>
      </c>
      <c r="G89" s="114">
        <v>1</v>
      </c>
      <c r="H89" s="114">
        <v>1</v>
      </c>
      <c r="I89" s="665">
        <f t="shared" si="114"/>
      </c>
      <c r="J89" s="464">
        <f t="shared" si="89"/>
        <v>12.921584195886203</v>
      </c>
      <c r="K89" s="195">
        <f t="shared" si="90"/>
        <v>0.0018839222108850248</v>
      </c>
      <c r="L89" s="194">
        <f t="shared" si="91"/>
        <v>0.0018839222108850248</v>
      </c>
      <c r="M89" s="71">
        <f t="shared" si="92"/>
        <v>0.9981160777891149</v>
      </c>
      <c r="N89" s="71">
        <f t="shared" si="115"/>
        <v>0</v>
      </c>
      <c r="O89" s="73">
        <f t="shared" si="116"/>
        <v>100</v>
      </c>
      <c r="P89" s="73">
        <f t="shared" si="117"/>
        <v>0</v>
      </c>
      <c r="Q89" s="73"/>
      <c r="R89" s="71">
        <f t="shared" si="93"/>
        <v>0.0018839222108850248</v>
      </c>
      <c r="S89" s="71">
        <f t="shared" si="94"/>
        <v>0</v>
      </c>
      <c r="T89" s="71">
        <f t="shared" si="118"/>
        <v>0.9981160777891149</v>
      </c>
      <c r="U89" s="601"/>
      <c r="V89" s="596">
        <f t="shared" si="86"/>
        <v>1</v>
      </c>
      <c r="W89" s="609">
        <f t="shared" si="95"/>
      </c>
      <c r="X89" s="605"/>
      <c r="Y89" s="671"/>
      <c r="Z89" s="25">
        <f t="shared" si="96"/>
        <v>-17.245529188505458</v>
      </c>
      <c r="AA89" s="25">
        <f t="shared" si="119"/>
        <v>96.91188146914652</v>
      </c>
      <c r="AB89" s="25">
        <f t="shared" si="120"/>
        <v>12.921584195886203</v>
      </c>
      <c r="AC89" s="25"/>
      <c r="AD89" s="203"/>
      <c r="AE89" s="203"/>
      <c r="AF89" s="203"/>
      <c r="AG89" s="620"/>
      <c r="AH89" s="69"/>
      <c r="AI89" s="69"/>
      <c r="AJ89" s="319" t="str">
        <f t="shared" si="121"/>
        <v> </v>
      </c>
      <c r="AK89" s="69">
        <f t="shared" si="97"/>
        <v>0</v>
      </c>
      <c r="AL89" s="320">
        <f t="shared" si="98"/>
        <v>0.9981160777891149</v>
      </c>
      <c r="AM89" s="69"/>
      <c r="AN89" s="244"/>
      <c r="AO89" s="239"/>
      <c r="AP89" s="239"/>
      <c r="AQ89" s="239"/>
      <c r="AR89" s="244"/>
      <c r="AS89" s="244"/>
      <c r="AT89" s="244"/>
      <c r="AU89" s="244"/>
      <c r="AV89" s="244"/>
      <c r="AW89" s="244"/>
      <c r="AX89" s="244"/>
      <c r="AY89" s="244"/>
      <c r="AZ89" s="321" t="str">
        <f t="shared" si="122"/>
        <v> </v>
      </c>
      <c r="BA89" s="73">
        <f t="shared" si="123"/>
        <v>1</v>
      </c>
      <c r="BB89" s="322">
        <f t="shared" si="99"/>
        <v>0.0018839222108850248</v>
      </c>
      <c r="BC89" s="323">
        <f t="shared" si="88"/>
        <v>0.0018839222108850248</v>
      </c>
      <c r="BD89" s="235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319" t="str">
        <f t="shared" si="124"/>
        <v> </v>
      </c>
      <c r="BQ89" s="69">
        <f t="shared" si="100"/>
        <v>100</v>
      </c>
      <c r="BR89" s="320">
        <f t="shared" si="101"/>
        <v>100</v>
      </c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319" t="str">
        <f t="shared" si="125"/>
        <v> </v>
      </c>
      <c r="CE89" s="69">
        <f t="shared" si="102"/>
        <v>0.0018839222108850248</v>
      </c>
      <c r="CF89" s="320">
        <f t="shared" si="103"/>
        <v>0.0018839222108850248</v>
      </c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590">
        <f t="shared" si="104"/>
        <v>0.9981160777891149</v>
      </c>
      <c r="CT89" s="253">
        <f t="shared" si="105"/>
        <v>0</v>
      </c>
      <c r="CU89" s="253">
        <f t="shared" si="106"/>
        <v>0</v>
      </c>
      <c r="CV89" s="591">
        <f t="shared" si="107"/>
        <v>0</v>
      </c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9"/>
      <c r="EE89" s="239"/>
      <c r="EF89" s="239"/>
      <c r="EI89" s="596">
        <f t="shared" si="126"/>
        <v>660.2834696077757</v>
      </c>
      <c r="EJ89" s="233">
        <f t="shared" si="108"/>
        <v>0</v>
      </c>
      <c r="EK89" s="233">
        <f t="shared" si="109"/>
        <v>0</v>
      </c>
      <c r="EL89" s="73">
        <f t="shared" si="110"/>
      </c>
      <c r="EP89" s="162">
        <f t="shared" si="111"/>
        <v>0</v>
      </c>
      <c r="EQ89" s="162">
        <f t="shared" si="127"/>
        <v>0</v>
      </c>
      <c r="ER89" s="162">
        <f t="shared" si="127"/>
        <v>0</v>
      </c>
      <c r="ES89" s="162">
        <f t="shared" si="127"/>
        <v>0</v>
      </c>
      <c r="ET89" s="162">
        <f t="shared" si="127"/>
        <v>0</v>
      </c>
      <c r="EU89" s="162">
        <f t="shared" si="127"/>
        <v>0</v>
      </c>
      <c r="EV89" s="162">
        <f t="shared" si="127"/>
        <v>0</v>
      </c>
      <c r="EW89" s="162">
        <f t="shared" si="127"/>
        <v>0</v>
      </c>
      <c r="EX89" s="162">
        <f t="shared" si="127"/>
        <v>0</v>
      </c>
      <c r="EY89" s="162">
        <f t="shared" si="127"/>
        <v>0</v>
      </c>
      <c r="EZ89" s="162">
        <f t="shared" si="127"/>
        <v>0</v>
      </c>
      <c r="FA89" s="162">
        <f t="shared" si="127"/>
        <v>0</v>
      </c>
      <c r="FB89" s="162">
        <f t="shared" si="128"/>
        <v>0</v>
      </c>
      <c r="FC89" s="162">
        <f t="shared" si="112"/>
        <v>0</v>
      </c>
      <c r="FD89" s="162">
        <f t="shared" si="129"/>
        <v>0</v>
      </c>
      <c r="FE89" s="163">
        <f t="shared" si="130"/>
        <v>100</v>
      </c>
      <c r="FF89" s="164"/>
      <c r="FG89" s="164"/>
      <c r="FH89" s="164"/>
      <c r="FI89" s="164"/>
      <c r="FJ89" s="164"/>
      <c r="FK89" s="164"/>
      <c r="FL89" s="165">
        <f t="shared" si="131"/>
        <v>138.35580268724084</v>
      </c>
      <c r="FM89" s="165">
        <f t="shared" si="132"/>
        <v>514.9441459583743</v>
      </c>
      <c r="FN89" s="162">
        <f t="shared" si="133"/>
        <v>1</v>
      </c>
      <c r="FO89" s="164"/>
    </row>
    <row r="90" spans="1:171" ht="12.75">
      <c r="A90" s="239"/>
      <c r="B90" s="166" t="s">
        <v>18</v>
      </c>
      <c r="C90" s="114">
        <v>1</v>
      </c>
      <c r="D90" s="233">
        <f t="shared" si="113"/>
        <v>34</v>
      </c>
      <c r="E90" s="157">
        <v>1</v>
      </c>
      <c r="F90" s="157">
        <v>1</v>
      </c>
      <c r="G90" s="114">
        <v>1</v>
      </c>
      <c r="H90" s="114">
        <v>1</v>
      </c>
      <c r="I90" s="665">
        <f t="shared" si="114"/>
      </c>
      <c r="J90" s="464">
        <f t="shared" si="89"/>
        <v>12.905849561026026</v>
      </c>
      <c r="K90" s="195">
        <f t="shared" si="90"/>
        <v>0.0018816281556326747</v>
      </c>
      <c r="L90" s="194">
        <f t="shared" si="91"/>
        <v>0.0018816281556326747</v>
      </c>
      <c r="M90" s="71">
        <f t="shared" si="92"/>
        <v>0.9981183718443674</v>
      </c>
      <c r="N90" s="71">
        <f t="shared" si="115"/>
        <v>0</v>
      </c>
      <c r="O90" s="73">
        <f t="shared" si="116"/>
        <v>100</v>
      </c>
      <c r="P90" s="73">
        <f t="shared" si="117"/>
        <v>0</v>
      </c>
      <c r="Q90" s="73"/>
      <c r="R90" s="71">
        <f t="shared" si="93"/>
        <v>0.0018816281556326747</v>
      </c>
      <c r="S90" s="71">
        <f t="shared" si="94"/>
        <v>0</v>
      </c>
      <c r="T90" s="71">
        <f t="shared" si="118"/>
        <v>0.9981183718443674</v>
      </c>
      <c r="U90" s="601"/>
      <c r="V90" s="596">
        <f t="shared" si="86"/>
        <v>1</v>
      </c>
      <c r="W90" s="609">
        <f t="shared" si="95"/>
      </c>
      <c r="X90" s="605"/>
      <c r="Y90" s="671"/>
      <c r="Z90" s="25">
        <f t="shared" si="96"/>
        <v>-16.96945269803914</v>
      </c>
      <c r="AA90" s="25">
        <f t="shared" si="119"/>
        <v>96.79387170769519</v>
      </c>
      <c r="AB90" s="25">
        <f t="shared" si="120"/>
        <v>12.905849561026026</v>
      </c>
      <c r="AC90" s="25"/>
      <c r="AD90" s="203"/>
      <c r="AE90" s="203"/>
      <c r="AF90" s="203"/>
      <c r="AG90" s="620"/>
      <c r="AH90" s="69"/>
      <c r="AI90" s="69"/>
      <c r="AJ90" s="319" t="str">
        <f t="shared" si="121"/>
        <v> </v>
      </c>
      <c r="AK90" s="69">
        <f t="shared" si="97"/>
        <v>0</v>
      </c>
      <c r="AL90" s="320">
        <f t="shared" si="98"/>
        <v>0.9981183718443674</v>
      </c>
      <c r="AM90" s="69"/>
      <c r="AN90" s="244"/>
      <c r="AO90" s="239"/>
      <c r="AP90" s="239"/>
      <c r="AQ90" s="239"/>
      <c r="AR90" s="244"/>
      <c r="AS90" s="244"/>
      <c r="AT90" s="244"/>
      <c r="AU90" s="244"/>
      <c r="AV90" s="244"/>
      <c r="AW90" s="244"/>
      <c r="AX90" s="244"/>
      <c r="AY90" s="244"/>
      <c r="AZ90" s="321" t="str">
        <f t="shared" si="122"/>
        <v> </v>
      </c>
      <c r="BA90" s="73">
        <f t="shared" si="123"/>
        <v>1</v>
      </c>
      <c r="BB90" s="322">
        <f t="shared" si="99"/>
        <v>0.0018816281556326747</v>
      </c>
      <c r="BC90" s="323">
        <f t="shared" si="88"/>
        <v>0.0018816281556326747</v>
      </c>
      <c r="BD90" s="235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319" t="str">
        <f t="shared" si="124"/>
        <v> </v>
      </c>
      <c r="BQ90" s="69">
        <f t="shared" si="100"/>
        <v>100</v>
      </c>
      <c r="BR90" s="320">
        <f t="shared" si="101"/>
        <v>100</v>
      </c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319" t="str">
        <f t="shared" si="125"/>
        <v> </v>
      </c>
      <c r="CE90" s="69">
        <f t="shared" si="102"/>
        <v>0.0018816281556326747</v>
      </c>
      <c r="CF90" s="320">
        <f t="shared" si="103"/>
        <v>0.0018816281556326747</v>
      </c>
      <c r="CG90" s="239"/>
      <c r="CH90" s="239"/>
      <c r="CI90" s="239"/>
      <c r="CJ90" s="239"/>
      <c r="CK90" s="239"/>
      <c r="CL90" s="239"/>
      <c r="CM90" s="239"/>
      <c r="CN90" s="239"/>
      <c r="CO90" s="239"/>
      <c r="CP90" s="239"/>
      <c r="CQ90" s="239"/>
      <c r="CR90" s="239"/>
      <c r="CS90" s="590">
        <f t="shared" si="104"/>
        <v>0.9981183718443674</v>
      </c>
      <c r="CT90" s="253">
        <f t="shared" si="105"/>
        <v>0</v>
      </c>
      <c r="CU90" s="253">
        <f t="shared" si="106"/>
        <v>0</v>
      </c>
      <c r="CV90" s="591">
        <f t="shared" si="107"/>
        <v>0</v>
      </c>
      <c r="CW90" s="239"/>
      <c r="CX90" s="239"/>
      <c r="CY90" s="239"/>
      <c r="CZ90" s="239"/>
      <c r="DA90" s="239"/>
      <c r="DB90" s="239"/>
      <c r="DC90" s="239"/>
      <c r="DD90" s="239"/>
      <c r="DE90" s="239"/>
      <c r="DF90" s="239"/>
      <c r="DG90" s="239"/>
      <c r="DH90" s="239"/>
      <c r="DI90" s="239"/>
      <c r="DJ90" s="239"/>
      <c r="DK90" s="239"/>
      <c r="DL90" s="239"/>
      <c r="DM90" s="239"/>
      <c r="DN90" s="239"/>
      <c r="DO90" s="239"/>
      <c r="DP90" s="239"/>
      <c r="DQ90" s="239"/>
      <c r="DR90" s="239"/>
      <c r="DS90" s="239"/>
      <c r="DT90" s="239"/>
      <c r="DU90" s="239"/>
      <c r="DV90" s="239"/>
      <c r="DW90" s="239"/>
      <c r="DX90" s="239"/>
      <c r="DY90" s="239"/>
      <c r="DZ90" s="239"/>
      <c r="EA90" s="239"/>
      <c r="EB90" s="239"/>
      <c r="EC90" s="239"/>
      <c r="ED90" s="239"/>
      <c r="EE90" s="239"/>
      <c r="EF90" s="239"/>
      <c r="EI90" s="596">
        <f t="shared" si="126"/>
        <v>660.2834696077757</v>
      </c>
      <c r="EJ90" s="233">
        <f t="shared" si="108"/>
        <v>0</v>
      </c>
      <c r="EK90" s="233">
        <f t="shared" si="109"/>
        <v>0</v>
      </c>
      <c r="EL90" s="73">
        <f t="shared" si="110"/>
      </c>
      <c r="EP90" s="162">
        <f t="shared" si="111"/>
        <v>0</v>
      </c>
      <c r="EQ90" s="162">
        <f t="shared" si="127"/>
        <v>0</v>
      </c>
      <c r="ER90" s="162">
        <f t="shared" si="127"/>
        <v>0</v>
      </c>
      <c r="ES90" s="162">
        <f t="shared" si="127"/>
        <v>0</v>
      </c>
      <c r="ET90" s="162">
        <f t="shared" si="127"/>
        <v>0</v>
      </c>
      <c r="EU90" s="162">
        <f t="shared" si="127"/>
        <v>0</v>
      </c>
      <c r="EV90" s="162">
        <f t="shared" si="127"/>
        <v>0</v>
      </c>
      <c r="EW90" s="162">
        <f t="shared" si="127"/>
        <v>0</v>
      </c>
      <c r="EX90" s="162">
        <f t="shared" si="127"/>
        <v>0</v>
      </c>
      <c r="EY90" s="162">
        <f t="shared" si="127"/>
        <v>0</v>
      </c>
      <c r="EZ90" s="162">
        <f t="shared" si="127"/>
        <v>0</v>
      </c>
      <c r="FA90" s="162">
        <f t="shared" si="127"/>
        <v>0</v>
      </c>
      <c r="FB90" s="162">
        <f t="shared" si="128"/>
        <v>0</v>
      </c>
      <c r="FC90" s="162">
        <f t="shared" si="112"/>
        <v>0</v>
      </c>
      <c r="FD90" s="162">
        <f t="shared" si="129"/>
        <v>0</v>
      </c>
      <c r="FE90" s="163">
        <f t="shared" si="130"/>
        <v>100</v>
      </c>
      <c r="FF90" s="164"/>
      <c r="FG90" s="164"/>
      <c r="FH90" s="164"/>
      <c r="FI90" s="164"/>
      <c r="FJ90" s="164"/>
      <c r="FK90" s="164"/>
      <c r="FL90" s="165">
        <f t="shared" si="131"/>
        <v>139.3539210590852</v>
      </c>
      <c r="FM90" s="165">
        <f t="shared" si="132"/>
        <v>515.9422643302187</v>
      </c>
      <c r="FN90" s="162">
        <f t="shared" si="133"/>
        <v>1</v>
      </c>
      <c r="FO90" s="164"/>
    </row>
    <row r="91" spans="1:171" ht="12.75">
      <c r="A91" s="239"/>
      <c r="B91" s="166" t="s">
        <v>18</v>
      </c>
      <c r="C91" s="114">
        <v>1</v>
      </c>
      <c r="D91" s="233">
        <f t="shared" si="113"/>
        <v>35</v>
      </c>
      <c r="E91" s="157">
        <v>1</v>
      </c>
      <c r="F91" s="157">
        <v>1</v>
      </c>
      <c r="G91" s="114">
        <v>1</v>
      </c>
      <c r="H91" s="114">
        <v>1</v>
      </c>
      <c r="I91" s="665">
        <f t="shared" si="114"/>
      </c>
      <c r="J91" s="464">
        <f t="shared" si="89"/>
        <v>12.889879752990488</v>
      </c>
      <c r="K91" s="195">
        <f t="shared" si="90"/>
        <v>0.0018792998129460795</v>
      </c>
      <c r="L91" s="194">
        <f t="shared" si="91"/>
        <v>0.0018792998129460795</v>
      </c>
      <c r="M91" s="71">
        <f t="shared" si="92"/>
        <v>0.9981207001870539</v>
      </c>
      <c r="N91" s="71">
        <f t="shared" si="115"/>
        <v>0</v>
      </c>
      <c r="O91" s="73">
        <f t="shared" si="116"/>
        <v>100</v>
      </c>
      <c r="P91" s="73">
        <f t="shared" si="117"/>
        <v>0</v>
      </c>
      <c r="Q91" s="73"/>
      <c r="R91" s="71">
        <f t="shared" si="93"/>
        <v>0.0018792998129460795</v>
      </c>
      <c r="S91" s="71">
        <f t="shared" si="94"/>
        <v>0</v>
      </c>
      <c r="T91" s="71">
        <f t="shared" si="118"/>
        <v>0.9981207001870539</v>
      </c>
      <c r="U91" s="601"/>
      <c r="V91" s="596">
        <f t="shared" si="86"/>
        <v>1</v>
      </c>
      <c r="W91" s="609">
        <f t="shared" si="95"/>
      </c>
      <c r="X91" s="605"/>
      <c r="Y91" s="671"/>
      <c r="Z91" s="25">
        <f t="shared" si="96"/>
        <v>-16.688347792507614</v>
      </c>
      <c r="AA91" s="25">
        <f t="shared" si="119"/>
        <v>96.67409814742867</v>
      </c>
      <c r="AB91" s="25">
        <f t="shared" si="120"/>
        <v>12.889879752990488</v>
      </c>
      <c r="AC91" s="25"/>
      <c r="AD91" s="203"/>
      <c r="AE91" s="203"/>
      <c r="AF91" s="203"/>
      <c r="AG91" s="620"/>
      <c r="AH91" s="69"/>
      <c r="AI91" s="69"/>
      <c r="AJ91" s="319" t="str">
        <f t="shared" si="121"/>
        <v> </v>
      </c>
      <c r="AK91" s="69">
        <f t="shared" si="97"/>
        <v>0</v>
      </c>
      <c r="AL91" s="320">
        <f t="shared" si="98"/>
        <v>0.9981207001870539</v>
      </c>
      <c r="AM91" s="69"/>
      <c r="AN91" s="244"/>
      <c r="AO91" s="239"/>
      <c r="AP91" s="239"/>
      <c r="AQ91" s="239"/>
      <c r="AR91" s="244"/>
      <c r="AS91" s="244"/>
      <c r="AT91" s="244"/>
      <c r="AU91" s="244"/>
      <c r="AV91" s="244"/>
      <c r="AW91" s="244"/>
      <c r="AX91" s="244"/>
      <c r="AY91" s="244"/>
      <c r="AZ91" s="321" t="str">
        <f t="shared" si="122"/>
        <v> </v>
      </c>
      <c r="BA91" s="73">
        <f t="shared" si="123"/>
        <v>1</v>
      </c>
      <c r="BB91" s="322">
        <f t="shared" si="99"/>
        <v>0.0018792998129460795</v>
      </c>
      <c r="BC91" s="323">
        <f t="shared" si="88"/>
        <v>0.0018792998129460795</v>
      </c>
      <c r="BD91" s="235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319" t="str">
        <f t="shared" si="124"/>
        <v> </v>
      </c>
      <c r="BQ91" s="69">
        <f t="shared" si="100"/>
        <v>100</v>
      </c>
      <c r="BR91" s="320">
        <f t="shared" si="101"/>
        <v>100</v>
      </c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319" t="str">
        <f t="shared" si="125"/>
        <v> </v>
      </c>
      <c r="CE91" s="69">
        <f t="shared" si="102"/>
        <v>0.0018792998129460795</v>
      </c>
      <c r="CF91" s="320">
        <f t="shared" si="103"/>
        <v>0.0018792998129460795</v>
      </c>
      <c r="CG91" s="239"/>
      <c r="CH91" s="239"/>
      <c r="CI91" s="239"/>
      <c r="CJ91" s="239"/>
      <c r="CK91" s="239"/>
      <c r="CL91" s="239"/>
      <c r="CM91" s="239"/>
      <c r="CN91" s="239"/>
      <c r="CO91" s="239"/>
      <c r="CP91" s="239"/>
      <c r="CQ91" s="239"/>
      <c r="CR91" s="239"/>
      <c r="CS91" s="590">
        <f t="shared" si="104"/>
        <v>0.9981207001870539</v>
      </c>
      <c r="CT91" s="253">
        <f t="shared" si="105"/>
        <v>0</v>
      </c>
      <c r="CU91" s="253">
        <f t="shared" si="106"/>
        <v>0</v>
      </c>
      <c r="CV91" s="591">
        <f t="shared" si="107"/>
        <v>0</v>
      </c>
      <c r="CW91" s="239"/>
      <c r="CX91" s="239"/>
      <c r="CY91" s="239"/>
      <c r="CZ91" s="239"/>
      <c r="DA91" s="239"/>
      <c r="DB91" s="239"/>
      <c r="DC91" s="239"/>
      <c r="DD91" s="239"/>
      <c r="DE91" s="239"/>
      <c r="DF91" s="239"/>
      <c r="DG91" s="239"/>
      <c r="DH91" s="239"/>
      <c r="DI91" s="239"/>
      <c r="DJ91" s="239"/>
      <c r="DK91" s="239"/>
      <c r="DL91" s="239"/>
      <c r="DM91" s="239"/>
      <c r="DN91" s="239"/>
      <c r="DO91" s="239"/>
      <c r="DP91" s="239"/>
      <c r="DQ91" s="239"/>
      <c r="DR91" s="239"/>
      <c r="DS91" s="239"/>
      <c r="DT91" s="239"/>
      <c r="DU91" s="239"/>
      <c r="DV91" s="239"/>
      <c r="DW91" s="239"/>
      <c r="DX91" s="239"/>
      <c r="DY91" s="239"/>
      <c r="DZ91" s="239"/>
      <c r="EA91" s="239"/>
      <c r="EB91" s="239"/>
      <c r="EC91" s="239"/>
      <c r="ED91" s="239"/>
      <c r="EE91" s="239"/>
      <c r="EF91" s="239"/>
      <c r="EI91" s="596">
        <f t="shared" si="126"/>
        <v>660.2834696077757</v>
      </c>
      <c r="EJ91" s="233">
        <f t="shared" si="108"/>
        <v>0</v>
      </c>
      <c r="EK91" s="233">
        <f t="shared" si="109"/>
        <v>0</v>
      </c>
      <c r="EL91" s="73">
        <f t="shared" si="110"/>
      </c>
      <c r="EP91" s="162">
        <f t="shared" si="111"/>
        <v>0</v>
      </c>
      <c r="EQ91" s="162">
        <f t="shared" si="127"/>
        <v>0</v>
      </c>
      <c r="ER91" s="162">
        <f t="shared" si="127"/>
        <v>0</v>
      </c>
      <c r="ES91" s="162">
        <f t="shared" si="127"/>
        <v>0</v>
      </c>
      <c r="ET91" s="162">
        <f t="shared" si="127"/>
        <v>0</v>
      </c>
      <c r="EU91" s="162">
        <f t="shared" si="127"/>
        <v>0</v>
      </c>
      <c r="EV91" s="162">
        <f t="shared" si="127"/>
        <v>0</v>
      </c>
      <c r="EW91" s="162">
        <f t="shared" si="127"/>
        <v>0</v>
      </c>
      <c r="EX91" s="162">
        <f t="shared" si="127"/>
        <v>0</v>
      </c>
      <c r="EY91" s="162">
        <f t="shared" si="127"/>
        <v>0</v>
      </c>
      <c r="EZ91" s="162">
        <f t="shared" si="127"/>
        <v>0</v>
      </c>
      <c r="FA91" s="162">
        <f t="shared" si="127"/>
        <v>0</v>
      </c>
      <c r="FB91" s="162">
        <f t="shared" si="128"/>
        <v>0</v>
      </c>
      <c r="FC91" s="162">
        <f t="shared" si="112"/>
        <v>0</v>
      </c>
      <c r="FD91" s="162">
        <f t="shared" si="129"/>
        <v>0</v>
      </c>
      <c r="FE91" s="163">
        <f t="shared" si="130"/>
        <v>100</v>
      </c>
      <c r="FF91" s="164"/>
      <c r="FG91" s="164"/>
      <c r="FH91" s="164"/>
      <c r="FI91" s="164"/>
      <c r="FJ91" s="164"/>
      <c r="FK91" s="164"/>
      <c r="FL91" s="165">
        <f t="shared" si="131"/>
        <v>140.35204175927225</v>
      </c>
      <c r="FM91" s="165">
        <f t="shared" si="132"/>
        <v>516.9403850304058</v>
      </c>
      <c r="FN91" s="162">
        <f t="shared" si="133"/>
        <v>1</v>
      </c>
      <c r="FO91" s="164"/>
    </row>
    <row r="92" spans="1:171" ht="12.75">
      <c r="A92" s="239"/>
      <c r="B92" s="166" t="s">
        <v>18</v>
      </c>
      <c r="C92" s="114">
        <v>1</v>
      </c>
      <c r="D92" s="233">
        <f t="shared" si="113"/>
        <v>36</v>
      </c>
      <c r="E92" s="157">
        <v>1</v>
      </c>
      <c r="F92" s="157">
        <v>1</v>
      </c>
      <c r="G92" s="114">
        <v>1</v>
      </c>
      <c r="H92" s="114">
        <v>1</v>
      </c>
      <c r="I92" s="665">
        <f t="shared" si="114"/>
      </c>
      <c r="J92" s="464">
        <f t="shared" si="89"/>
        <v>12.873681148383733</v>
      </c>
      <c r="K92" s="195">
        <f t="shared" si="90"/>
        <v>0.0018769381125120317</v>
      </c>
      <c r="L92" s="194">
        <f t="shared" si="91"/>
        <v>0.0018769381125120317</v>
      </c>
      <c r="M92" s="71">
        <f t="shared" si="92"/>
        <v>0.998123061887488</v>
      </c>
      <c r="N92" s="71">
        <f t="shared" si="115"/>
        <v>0</v>
      </c>
      <c r="O92" s="73">
        <f t="shared" si="116"/>
        <v>100</v>
      </c>
      <c r="P92" s="73">
        <f t="shared" si="117"/>
        <v>0</v>
      </c>
      <c r="Q92" s="73"/>
      <c r="R92" s="71">
        <f t="shared" si="93"/>
        <v>0.0018769381125120317</v>
      </c>
      <c r="S92" s="71">
        <f t="shared" si="94"/>
        <v>0</v>
      </c>
      <c r="T92" s="71">
        <f t="shared" si="118"/>
        <v>0.998123061887488</v>
      </c>
      <c r="U92" s="601"/>
      <c r="V92" s="596">
        <f t="shared" si="86"/>
        <v>1</v>
      </c>
      <c r="W92" s="609">
        <f t="shared" si="95"/>
      </c>
      <c r="X92" s="605"/>
      <c r="Y92" s="671"/>
      <c r="Z92" s="25">
        <f t="shared" si="96"/>
        <v>-16.402297769361123</v>
      </c>
      <c r="AA92" s="25">
        <f t="shared" si="119"/>
        <v>96.552608612878</v>
      </c>
      <c r="AB92" s="25">
        <f t="shared" si="120"/>
        <v>12.873681148383733</v>
      </c>
      <c r="AC92" s="25"/>
      <c r="AD92" s="203"/>
      <c r="AE92" s="203"/>
      <c r="AF92" s="203"/>
      <c r="AG92" s="620"/>
      <c r="AH92" s="69"/>
      <c r="AI92" s="69"/>
      <c r="AJ92" s="319" t="str">
        <f t="shared" si="121"/>
        <v> </v>
      </c>
      <c r="AK92" s="69">
        <f t="shared" si="97"/>
        <v>0</v>
      </c>
      <c r="AL92" s="320">
        <f t="shared" si="98"/>
        <v>0.998123061887488</v>
      </c>
      <c r="AM92" s="69"/>
      <c r="AN92" s="244"/>
      <c r="AO92" s="239"/>
      <c r="AP92" s="239"/>
      <c r="AQ92" s="239"/>
      <c r="AR92" s="244"/>
      <c r="AS92" s="244"/>
      <c r="AT92" s="244"/>
      <c r="AU92" s="244"/>
      <c r="AV92" s="244"/>
      <c r="AW92" s="244"/>
      <c r="AX92" s="244"/>
      <c r="AY92" s="244"/>
      <c r="AZ92" s="321" t="str">
        <f t="shared" si="122"/>
        <v> </v>
      </c>
      <c r="BA92" s="73">
        <f t="shared" si="123"/>
        <v>1</v>
      </c>
      <c r="BB92" s="322">
        <f t="shared" si="99"/>
        <v>0.0018769381125120317</v>
      </c>
      <c r="BC92" s="323">
        <f t="shared" si="88"/>
        <v>0.0018769381125120317</v>
      </c>
      <c r="BD92" s="235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319" t="str">
        <f t="shared" si="124"/>
        <v> </v>
      </c>
      <c r="BQ92" s="69">
        <f t="shared" si="100"/>
        <v>100</v>
      </c>
      <c r="BR92" s="320">
        <f t="shared" si="101"/>
        <v>100</v>
      </c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319" t="str">
        <f t="shared" si="125"/>
        <v> </v>
      </c>
      <c r="CE92" s="69">
        <f t="shared" si="102"/>
        <v>0.0018769381125120317</v>
      </c>
      <c r="CF92" s="320">
        <f t="shared" si="103"/>
        <v>0.0018769381125120317</v>
      </c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239"/>
      <c r="CR92" s="239"/>
      <c r="CS92" s="590">
        <f t="shared" si="104"/>
        <v>0.998123061887488</v>
      </c>
      <c r="CT92" s="253">
        <f t="shared" si="105"/>
        <v>0</v>
      </c>
      <c r="CU92" s="253">
        <f t="shared" si="106"/>
        <v>0</v>
      </c>
      <c r="CV92" s="591">
        <f t="shared" si="107"/>
        <v>0</v>
      </c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239"/>
      <c r="DI92" s="239"/>
      <c r="DJ92" s="239"/>
      <c r="DK92" s="239"/>
      <c r="DL92" s="239"/>
      <c r="DM92" s="239"/>
      <c r="DN92" s="239"/>
      <c r="DO92" s="239"/>
      <c r="DP92" s="239"/>
      <c r="DQ92" s="239"/>
      <c r="DR92" s="239"/>
      <c r="DS92" s="239"/>
      <c r="DT92" s="239"/>
      <c r="DU92" s="239"/>
      <c r="DV92" s="239"/>
      <c r="DW92" s="239"/>
      <c r="DX92" s="239"/>
      <c r="DY92" s="239"/>
      <c r="DZ92" s="239"/>
      <c r="EA92" s="239"/>
      <c r="EB92" s="239"/>
      <c r="EC92" s="239"/>
      <c r="ED92" s="239"/>
      <c r="EE92" s="239"/>
      <c r="EF92" s="239"/>
      <c r="EI92" s="596">
        <f t="shared" si="126"/>
        <v>660.2834696077757</v>
      </c>
      <c r="EJ92" s="233">
        <f t="shared" si="108"/>
        <v>0</v>
      </c>
      <c r="EK92" s="233">
        <f t="shared" si="109"/>
        <v>0</v>
      </c>
      <c r="EL92" s="73">
        <f t="shared" si="110"/>
      </c>
      <c r="EP92" s="162">
        <f t="shared" si="111"/>
        <v>0</v>
      </c>
      <c r="EQ92" s="162">
        <f t="shared" si="127"/>
        <v>0</v>
      </c>
      <c r="ER92" s="162">
        <f t="shared" si="127"/>
        <v>0</v>
      </c>
      <c r="ES92" s="162">
        <f t="shared" si="127"/>
        <v>0</v>
      </c>
      <c r="ET92" s="162">
        <f t="shared" si="127"/>
        <v>0</v>
      </c>
      <c r="EU92" s="162">
        <f t="shared" si="127"/>
        <v>0</v>
      </c>
      <c r="EV92" s="162">
        <f t="shared" si="127"/>
        <v>0</v>
      </c>
      <c r="EW92" s="162">
        <f t="shared" si="127"/>
        <v>0</v>
      </c>
      <c r="EX92" s="162">
        <f t="shared" si="127"/>
        <v>0</v>
      </c>
      <c r="EY92" s="162">
        <f t="shared" si="127"/>
        <v>0</v>
      </c>
      <c r="EZ92" s="162">
        <f t="shared" si="127"/>
        <v>0</v>
      </c>
      <c r="FA92" s="162">
        <f t="shared" si="127"/>
        <v>0</v>
      </c>
      <c r="FB92" s="162">
        <f t="shared" si="128"/>
        <v>0</v>
      </c>
      <c r="FC92" s="162">
        <f t="shared" si="112"/>
        <v>0</v>
      </c>
      <c r="FD92" s="162">
        <f t="shared" si="129"/>
        <v>0</v>
      </c>
      <c r="FE92" s="163">
        <f t="shared" si="130"/>
        <v>100</v>
      </c>
      <c r="FF92" s="164"/>
      <c r="FG92" s="164"/>
      <c r="FH92" s="164"/>
      <c r="FI92" s="164"/>
      <c r="FJ92" s="164"/>
      <c r="FK92" s="164"/>
      <c r="FL92" s="165">
        <f t="shared" si="131"/>
        <v>141.35016482115975</v>
      </c>
      <c r="FM92" s="165">
        <f t="shared" si="132"/>
        <v>517.9385080922932</v>
      </c>
      <c r="FN92" s="162">
        <f t="shared" si="133"/>
        <v>1</v>
      </c>
      <c r="FO92" s="164"/>
    </row>
    <row r="93" spans="1:171" ht="12.75">
      <c r="A93" s="239"/>
      <c r="B93" s="166" t="s">
        <v>18</v>
      </c>
      <c r="C93" s="114">
        <v>1</v>
      </c>
      <c r="D93" s="233">
        <f t="shared" si="113"/>
        <v>37</v>
      </c>
      <c r="E93" s="157">
        <v>1</v>
      </c>
      <c r="F93" s="157">
        <v>1</v>
      </c>
      <c r="G93" s="114">
        <v>1</v>
      </c>
      <c r="H93" s="114">
        <v>1</v>
      </c>
      <c r="I93" s="665">
        <f t="shared" si="114"/>
      </c>
      <c r="J93" s="464">
        <f t="shared" si="89"/>
        <v>12.857260089905186</v>
      </c>
      <c r="K93" s="195">
        <f t="shared" si="90"/>
        <v>0.0018745439790741343</v>
      </c>
      <c r="L93" s="194">
        <f t="shared" si="91"/>
        <v>0.0018745439790741343</v>
      </c>
      <c r="M93" s="71">
        <f t="shared" si="92"/>
        <v>0.9981254560209258</v>
      </c>
      <c r="N93" s="71">
        <f t="shared" si="115"/>
        <v>0</v>
      </c>
      <c r="O93" s="73">
        <f t="shared" si="116"/>
        <v>100</v>
      </c>
      <c r="P93" s="73">
        <f t="shared" si="117"/>
        <v>0</v>
      </c>
      <c r="Q93" s="73"/>
      <c r="R93" s="71">
        <f t="shared" si="93"/>
        <v>0.0018745439790741343</v>
      </c>
      <c r="S93" s="71">
        <f t="shared" si="94"/>
        <v>0</v>
      </c>
      <c r="T93" s="71">
        <f t="shared" si="118"/>
        <v>0.9981254560209258</v>
      </c>
      <c r="U93" s="601"/>
      <c r="V93" s="596">
        <f t="shared" si="86"/>
        <v>1</v>
      </c>
      <c r="W93" s="609">
        <f t="shared" si="95"/>
      </c>
      <c r="X93" s="605"/>
      <c r="Y93" s="671"/>
      <c r="Z93" s="25">
        <f t="shared" si="96"/>
        <v>-16.11138739139499</v>
      </c>
      <c r="AA93" s="25">
        <f t="shared" si="119"/>
        <v>96.42945067428889</v>
      </c>
      <c r="AB93" s="25">
        <f t="shared" si="120"/>
        <v>12.857260089905186</v>
      </c>
      <c r="AC93" s="25"/>
      <c r="AD93" s="203"/>
      <c r="AE93" s="203"/>
      <c r="AF93" s="203"/>
      <c r="AG93" s="620"/>
      <c r="AH93" s="69"/>
      <c r="AI93" s="69"/>
      <c r="AJ93" s="319" t="str">
        <f t="shared" si="121"/>
        <v> </v>
      </c>
      <c r="AK93" s="69">
        <f t="shared" si="97"/>
        <v>0</v>
      </c>
      <c r="AL93" s="320">
        <f t="shared" si="98"/>
        <v>0.9981254560209258</v>
      </c>
      <c r="AM93" s="69"/>
      <c r="AN93" s="244"/>
      <c r="AO93" s="239"/>
      <c r="AP93" s="239"/>
      <c r="AQ93" s="239"/>
      <c r="AR93" s="244"/>
      <c r="AS93" s="244"/>
      <c r="AT93" s="244"/>
      <c r="AU93" s="244"/>
      <c r="AV93" s="244"/>
      <c r="AW93" s="244"/>
      <c r="AX93" s="244"/>
      <c r="AY93" s="244"/>
      <c r="AZ93" s="321" t="str">
        <f t="shared" si="122"/>
        <v> </v>
      </c>
      <c r="BA93" s="73">
        <f t="shared" si="123"/>
        <v>1</v>
      </c>
      <c r="BB93" s="322">
        <f t="shared" si="99"/>
        <v>0.0018745439790741343</v>
      </c>
      <c r="BC93" s="323">
        <f t="shared" si="88"/>
        <v>0.0018745439790741343</v>
      </c>
      <c r="BD93" s="235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BO93" s="239"/>
      <c r="BP93" s="319" t="str">
        <f t="shared" si="124"/>
        <v> </v>
      </c>
      <c r="BQ93" s="69">
        <f t="shared" si="100"/>
        <v>100</v>
      </c>
      <c r="BR93" s="320">
        <f t="shared" si="101"/>
        <v>100</v>
      </c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39"/>
      <c r="CD93" s="319" t="str">
        <f t="shared" si="125"/>
        <v> </v>
      </c>
      <c r="CE93" s="69">
        <f t="shared" si="102"/>
        <v>0.0018745439790741343</v>
      </c>
      <c r="CF93" s="320">
        <f t="shared" si="103"/>
        <v>0.0018745439790741343</v>
      </c>
      <c r="CG93" s="239"/>
      <c r="CH93" s="239"/>
      <c r="CI93" s="239"/>
      <c r="CJ93" s="239"/>
      <c r="CK93" s="239"/>
      <c r="CL93" s="239"/>
      <c r="CM93" s="239"/>
      <c r="CN93" s="239"/>
      <c r="CO93" s="239"/>
      <c r="CP93" s="239"/>
      <c r="CQ93" s="239"/>
      <c r="CR93" s="239"/>
      <c r="CS93" s="590">
        <f t="shared" si="104"/>
        <v>0.9981254560209258</v>
      </c>
      <c r="CT93" s="253">
        <f t="shared" si="105"/>
        <v>0</v>
      </c>
      <c r="CU93" s="253">
        <f t="shared" si="106"/>
        <v>0</v>
      </c>
      <c r="CV93" s="591">
        <f t="shared" si="107"/>
        <v>0</v>
      </c>
      <c r="CW93" s="239"/>
      <c r="CX93" s="239"/>
      <c r="CY93" s="239"/>
      <c r="CZ93" s="239"/>
      <c r="DA93" s="239"/>
      <c r="DB93" s="239"/>
      <c r="DC93" s="239"/>
      <c r="DD93" s="239"/>
      <c r="DE93" s="239"/>
      <c r="DF93" s="239"/>
      <c r="DG93" s="239"/>
      <c r="DH93" s="239"/>
      <c r="DI93" s="239"/>
      <c r="DJ93" s="239"/>
      <c r="DK93" s="239"/>
      <c r="DL93" s="239"/>
      <c r="DM93" s="239"/>
      <c r="DN93" s="239"/>
      <c r="DO93" s="239"/>
      <c r="DP93" s="239"/>
      <c r="DQ93" s="239"/>
      <c r="DR93" s="239"/>
      <c r="DS93" s="239"/>
      <c r="DT93" s="239"/>
      <c r="DU93" s="239"/>
      <c r="DV93" s="239"/>
      <c r="DW93" s="239"/>
      <c r="DX93" s="239"/>
      <c r="DY93" s="239"/>
      <c r="DZ93" s="239"/>
      <c r="EA93" s="239"/>
      <c r="EB93" s="239"/>
      <c r="EC93" s="239"/>
      <c r="ED93" s="239"/>
      <c r="EE93" s="239"/>
      <c r="EF93" s="239"/>
      <c r="EI93" s="596">
        <f t="shared" si="126"/>
        <v>660.2834696077757</v>
      </c>
      <c r="EJ93" s="233">
        <f t="shared" si="108"/>
        <v>0</v>
      </c>
      <c r="EK93" s="233">
        <f t="shared" si="109"/>
        <v>0</v>
      </c>
      <c r="EL93" s="73">
        <f t="shared" si="110"/>
      </c>
      <c r="EP93" s="162">
        <f t="shared" si="111"/>
        <v>0</v>
      </c>
      <c r="EQ93" s="162">
        <f t="shared" si="127"/>
        <v>0</v>
      </c>
      <c r="ER93" s="162">
        <f t="shared" si="127"/>
        <v>0</v>
      </c>
      <c r="ES93" s="162">
        <f t="shared" si="127"/>
        <v>0</v>
      </c>
      <c r="ET93" s="162">
        <f t="shared" si="127"/>
        <v>0</v>
      </c>
      <c r="EU93" s="162">
        <f t="shared" si="127"/>
        <v>0</v>
      </c>
      <c r="EV93" s="162">
        <f t="shared" si="127"/>
        <v>0</v>
      </c>
      <c r="EW93" s="162">
        <f t="shared" si="127"/>
        <v>0</v>
      </c>
      <c r="EX93" s="162">
        <f t="shared" si="127"/>
        <v>0</v>
      </c>
      <c r="EY93" s="162">
        <f t="shared" si="127"/>
        <v>0</v>
      </c>
      <c r="EZ93" s="162">
        <f t="shared" si="127"/>
        <v>0</v>
      </c>
      <c r="FA93" s="162">
        <f t="shared" si="127"/>
        <v>0</v>
      </c>
      <c r="FB93" s="162">
        <f t="shared" si="128"/>
        <v>0</v>
      </c>
      <c r="FC93" s="162">
        <f t="shared" si="112"/>
        <v>0</v>
      </c>
      <c r="FD93" s="162">
        <f t="shared" si="129"/>
        <v>0</v>
      </c>
      <c r="FE93" s="163">
        <f t="shared" si="130"/>
        <v>100</v>
      </c>
      <c r="FF93" s="164"/>
      <c r="FG93" s="164"/>
      <c r="FH93" s="164"/>
      <c r="FI93" s="164"/>
      <c r="FJ93" s="164"/>
      <c r="FK93" s="164"/>
      <c r="FL93" s="165">
        <f t="shared" si="131"/>
        <v>142.34829027718067</v>
      </c>
      <c r="FM93" s="165">
        <f t="shared" si="132"/>
        <v>518.9366335483141</v>
      </c>
      <c r="FN93" s="162">
        <f t="shared" si="133"/>
        <v>1</v>
      </c>
      <c r="FO93" s="164"/>
    </row>
    <row r="94" spans="1:171" ht="13.5" thickBot="1">
      <c r="A94" s="239"/>
      <c r="B94" s="166" t="s">
        <v>18</v>
      </c>
      <c r="C94" s="114">
        <v>1</v>
      </c>
      <c r="D94" s="233">
        <f t="shared" si="113"/>
        <v>38</v>
      </c>
      <c r="E94" s="157">
        <v>1</v>
      </c>
      <c r="F94" s="157">
        <v>1</v>
      </c>
      <c r="G94" s="114">
        <v>1</v>
      </c>
      <c r="H94" s="114">
        <v>1</v>
      </c>
      <c r="I94" s="665">
        <f t="shared" si="114"/>
      </c>
      <c r="J94" s="464">
        <f t="shared" si="89"/>
        <v>12.840622881273866</v>
      </c>
      <c r="K94" s="195">
        <f t="shared" si="90"/>
        <v>0.0018721183316927825</v>
      </c>
      <c r="L94" s="194">
        <f t="shared" si="91"/>
        <v>0.0018721183316927825</v>
      </c>
      <c r="M94" s="71">
        <f t="shared" si="92"/>
        <v>0.9981278816683072</v>
      </c>
      <c r="N94" s="71">
        <f t="shared" si="115"/>
        <v>0</v>
      </c>
      <c r="O94" s="73">
        <f t="shared" si="116"/>
        <v>100</v>
      </c>
      <c r="P94" s="73">
        <f t="shared" si="117"/>
        <v>0</v>
      </c>
      <c r="Q94" s="73"/>
      <c r="R94" s="541">
        <f t="shared" si="93"/>
        <v>0.0018721183316927825</v>
      </c>
      <c r="S94" s="71">
        <f t="shared" si="94"/>
        <v>0</v>
      </c>
      <c r="T94" s="71">
        <f t="shared" si="118"/>
        <v>0.9981278816683072</v>
      </c>
      <c r="U94" s="601"/>
      <c r="V94" s="612">
        <f t="shared" si="86"/>
        <v>1</v>
      </c>
      <c r="W94" s="610">
        <f t="shared" si="95"/>
      </c>
      <c r="X94" s="605"/>
      <c r="Y94" s="671"/>
      <c r="Z94" s="25">
        <f t="shared" si="96"/>
        <v>-15.81570286163257</v>
      </c>
      <c r="AA94" s="25">
        <f t="shared" si="119"/>
        <v>96.30467160955399</v>
      </c>
      <c r="AB94" s="25">
        <f t="shared" si="120"/>
        <v>12.840622881273866</v>
      </c>
      <c r="AC94" s="25"/>
      <c r="AD94" s="203"/>
      <c r="AE94" s="203"/>
      <c r="AF94" s="203"/>
      <c r="AG94" s="620"/>
      <c r="AH94" s="69"/>
      <c r="AI94" s="69"/>
      <c r="AJ94" s="312" t="str">
        <f t="shared" si="121"/>
        <v> </v>
      </c>
      <c r="AK94" s="327">
        <f t="shared" si="97"/>
        <v>0</v>
      </c>
      <c r="AL94" s="328">
        <f t="shared" si="98"/>
        <v>0.9981278816683072</v>
      </c>
      <c r="AM94" s="69"/>
      <c r="AN94" s="244"/>
      <c r="AO94" s="239"/>
      <c r="AP94" s="239"/>
      <c r="AQ94" s="239"/>
      <c r="AR94" s="244"/>
      <c r="AS94" s="244"/>
      <c r="AT94" s="244"/>
      <c r="AU94" s="244"/>
      <c r="AV94" s="244"/>
      <c r="AW94" s="244"/>
      <c r="AX94" s="244"/>
      <c r="AY94" s="244"/>
      <c r="AZ94" s="329" t="str">
        <f t="shared" si="122"/>
        <v> </v>
      </c>
      <c r="BA94" s="330">
        <f t="shared" si="123"/>
        <v>1</v>
      </c>
      <c r="BB94" s="595">
        <f t="shared" si="99"/>
        <v>0.0018721183316927825</v>
      </c>
      <c r="BC94" s="318">
        <f t="shared" si="88"/>
        <v>0.0018721183316927825</v>
      </c>
      <c r="BD94" s="235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BO94" s="239"/>
      <c r="BP94" s="312" t="str">
        <f t="shared" si="124"/>
        <v> </v>
      </c>
      <c r="BQ94" s="327">
        <f t="shared" si="100"/>
        <v>100</v>
      </c>
      <c r="BR94" s="328">
        <f t="shared" si="101"/>
        <v>100</v>
      </c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39"/>
      <c r="CD94" s="312" t="str">
        <f t="shared" si="125"/>
        <v> </v>
      </c>
      <c r="CE94" s="327">
        <f t="shared" si="102"/>
        <v>0.0018721183316927825</v>
      </c>
      <c r="CF94" s="328">
        <f t="shared" si="103"/>
        <v>0.0018721183316927825</v>
      </c>
      <c r="CG94" s="239"/>
      <c r="CH94" s="239"/>
      <c r="CI94" s="239"/>
      <c r="CJ94" s="239"/>
      <c r="CK94" s="239"/>
      <c r="CL94" s="239"/>
      <c r="CM94" s="239"/>
      <c r="CN94" s="239"/>
      <c r="CO94" s="239"/>
      <c r="CP94" s="239"/>
      <c r="CQ94" s="239"/>
      <c r="CR94" s="239"/>
      <c r="CS94" s="592">
        <f t="shared" si="104"/>
        <v>0.9981278816683072</v>
      </c>
      <c r="CT94" s="593">
        <f t="shared" si="105"/>
        <v>0</v>
      </c>
      <c r="CU94" s="593">
        <f t="shared" si="106"/>
        <v>0</v>
      </c>
      <c r="CV94" s="594">
        <f t="shared" si="107"/>
        <v>0</v>
      </c>
      <c r="CW94" s="239"/>
      <c r="CX94" s="239"/>
      <c r="CY94" s="239"/>
      <c r="CZ94" s="239"/>
      <c r="DA94" s="239"/>
      <c r="DB94" s="239"/>
      <c r="DC94" s="239"/>
      <c r="DD94" s="239"/>
      <c r="DE94" s="239"/>
      <c r="DF94" s="239"/>
      <c r="DG94" s="239"/>
      <c r="DH94" s="239"/>
      <c r="DI94" s="239"/>
      <c r="DJ94" s="239"/>
      <c r="DK94" s="239"/>
      <c r="DL94" s="239"/>
      <c r="DM94" s="239"/>
      <c r="DN94" s="239"/>
      <c r="DO94" s="239"/>
      <c r="DP94" s="239"/>
      <c r="DQ94" s="239"/>
      <c r="DR94" s="239"/>
      <c r="DS94" s="239"/>
      <c r="DT94" s="239"/>
      <c r="DU94" s="239"/>
      <c r="DV94" s="239"/>
      <c r="DW94" s="239"/>
      <c r="DX94" s="239"/>
      <c r="DY94" s="239"/>
      <c r="DZ94" s="239"/>
      <c r="EA94" s="239"/>
      <c r="EB94" s="239"/>
      <c r="EC94" s="239"/>
      <c r="ED94" s="239"/>
      <c r="EE94" s="239"/>
      <c r="EF94" s="239"/>
      <c r="EI94" s="596">
        <f t="shared" si="126"/>
        <v>660.2834696077757</v>
      </c>
      <c r="EJ94" s="233">
        <f t="shared" si="108"/>
        <v>0</v>
      </c>
      <c r="EK94" s="233">
        <f t="shared" si="109"/>
        <v>0</v>
      </c>
      <c r="EL94" s="73">
        <f t="shared" si="110"/>
      </c>
      <c r="EP94" s="162">
        <f t="shared" si="111"/>
        <v>0</v>
      </c>
      <c r="EQ94" s="162">
        <f t="shared" si="127"/>
        <v>0</v>
      </c>
      <c r="ER94" s="162">
        <f t="shared" si="127"/>
        <v>0</v>
      </c>
      <c r="ES94" s="162">
        <f t="shared" si="127"/>
        <v>0</v>
      </c>
      <c r="ET94" s="162">
        <f t="shared" si="127"/>
        <v>0</v>
      </c>
      <c r="EU94" s="162">
        <f t="shared" si="127"/>
        <v>0</v>
      </c>
      <c r="EV94" s="162">
        <f t="shared" si="127"/>
        <v>0</v>
      </c>
      <c r="EW94" s="162">
        <f t="shared" si="127"/>
        <v>0</v>
      </c>
      <c r="EX94" s="162">
        <f t="shared" si="127"/>
        <v>0</v>
      </c>
      <c r="EY94" s="162">
        <f t="shared" si="127"/>
        <v>0</v>
      </c>
      <c r="EZ94" s="162">
        <f t="shared" si="127"/>
        <v>0</v>
      </c>
      <c r="FA94" s="162">
        <f t="shared" si="127"/>
        <v>0</v>
      </c>
      <c r="FB94" s="162">
        <f t="shared" si="128"/>
        <v>0</v>
      </c>
      <c r="FC94" s="162">
        <f t="shared" si="112"/>
        <v>0</v>
      </c>
      <c r="FD94" s="162">
        <f t="shared" si="129"/>
        <v>0</v>
      </c>
      <c r="FE94" s="163">
        <f t="shared" si="130"/>
        <v>100</v>
      </c>
      <c r="FF94" s="164"/>
      <c r="FG94" s="164"/>
      <c r="FH94" s="164"/>
      <c r="FI94" s="164"/>
      <c r="FJ94" s="164"/>
      <c r="FK94" s="164"/>
      <c r="FL94" s="165">
        <f t="shared" si="131"/>
        <v>143.34641815884896</v>
      </c>
      <c r="FM94" s="165">
        <f t="shared" si="132"/>
        <v>519.9347614299825</v>
      </c>
      <c r="FN94" s="162">
        <f t="shared" si="133"/>
        <v>1</v>
      </c>
      <c r="FO94" s="164"/>
    </row>
    <row r="95" spans="1:171" ht="13.5" thickBot="1">
      <c r="A95" s="239"/>
      <c r="B95" s="170" t="s">
        <v>77</v>
      </c>
      <c r="C95" s="171"/>
      <c r="D95" s="172"/>
      <c r="E95" s="173">
        <f>SUM(E22:E57)</f>
        <v>767</v>
      </c>
      <c r="F95" s="173">
        <f>SUM(F22:F57)</f>
        <v>1276.6000000000001</v>
      </c>
      <c r="G95" s="172"/>
      <c r="H95" s="172"/>
      <c r="I95" s="172"/>
      <c r="J95" s="173">
        <f>SUM(J22:J57)</f>
        <v>432.20588822739313</v>
      </c>
      <c r="K95" s="172"/>
      <c r="L95" s="172"/>
      <c r="M95" s="172"/>
      <c r="N95" s="173">
        <f aca="true" t="shared" si="134" ref="N95:T95">SUM(N22:N57)</f>
        <v>-963.1792119919616</v>
      </c>
      <c r="O95" s="173">
        <f t="shared" si="134"/>
        <v>2851.799865603544</v>
      </c>
      <c r="P95" s="173">
        <f t="shared" si="134"/>
        <v>0</v>
      </c>
      <c r="Q95" s="173"/>
      <c r="R95" s="173">
        <f t="shared" si="134"/>
        <v>887.8790307421679</v>
      </c>
      <c r="S95" s="173">
        <f t="shared" si="134"/>
        <v>32.73669743553555</v>
      </c>
      <c r="T95" s="173">
        <f t="shared" si="134"/>
        <v>388.72096925783234</v>
      </c>
      <c r="U95" s="611"/>
      <c r="V95" s="71"/>
      <c r="W95" s="235"/>
      <c r="X95" s="605"/>
      <c r="Y95" s="671"/>
      <c r="Z95" s="25"/>
      <c r="AA95" s="25"/>
      <c r="AB95" s="25"/>
      <c r="AC95" s="25"/>
      <c r="AD95" s="113"/>
      <c r="AE95" s="113"/>
      <c r="AF95" s="113"/>
      <c r="AG95" s="621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  <c r="CH95" s="239"/>
      <c r="CI95" s="239"/>
      <c r="CJ95" s="239"/>
      <c r="CK95" s="239"/>
      <c r="CL95" s="239"/>
      <c r="CM95" s="239"/>
      <c r="CN95" s="239"/>
      <c r="CO95" s="239"/>
      <c r="CP95" s="239"/>
      <c r="CQ95" s="239"/>
      <c r="CR95" s="239"/>
      <c r="CS95" s="244"/>
      <c r="CT95" s="244"/>
      <c r="CU95" s="244"/>
      <c r="CV95" s="244"/>
      <c r="CW95" s="239"/>
      <c r="CX95" s="239"/>
      <c r="CY95" s="239"/>
      <c r="CZ95" s="239"/>
      <c r="DA95" s="239"/>
      <c r="DB95" s="239"/>
      <c r="DC95" s="239"/>
      <c r="DD95" s="239"/>
      <c r="DE95" s="239"/>
      <c r="DF95" s="239"/>
      <c r="DG95" s="239"/>
      <c r="DH95" s="239"/>
      <c r="DI95" s="239"/>
      <c r="DJ95" s="239"/>
      <c r="DK95" s="239"/>
      <c r="DL95" s="239"/>
      <c r="DM95" s="239"/>
      <c r="DN95" s="239"/>
      <c r="DO95" s="239"/>
      <c r="DP95" s="239"/>
      <c r="DQ95" s="239"/>
      <c r="DR95" s="239"/>
      <c r="DS95" s="239"/>
      <c r="DT95" s="239"/>
      <c r="DU95" s="239"/>
      <c r="DV95" s="239"/>
      <c r="DW95" s="239"/>
      <c r="DX95" s="239"/>
      <c r="DY95" s="239"/>
      <c r="DZ95" s="239"/>
      <c r="EA95" s="239"/>
      <c r="EB95" s="239"/>
      <c r="EC95" s="239"/>
      <c r="ED95" s="239"/>
      <c r="EE95" s="239"/>
      <c r="EF95" s="239"/>
      <c r="EI95" s="597"/>
      <c r="EJ95" s="606">
        <f>SUM(EJ22:EJ94)</f>
        <v>3</v>
      </c>
      <c r="EK95" s="606"/>
      <c r="EL95" s="598">
        <f>SUM(EL22:EL94)</f>
        <v>4341.87</v>
      </c>
      <c r="EP95" s="162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2">
        <f>SUM(FC22:FC57)</f>
        <v>0</v>
      </c>
      <c r="FD95" s="164"/>
      <c r="FE95" s="164"/>
      <c r="FF95" s="164"/>
      <c r="FG95" s="164"/>
      <c r="FH95" s="164"/>
      <c r="FI95" s="164"/>
      <c r="FJ95" s="164"/>
      <c r="FK95" s="164"/>
      <c r="FL95" s="164">
        <f>LARGE(FL22:FL57,1)</f>
        <v>289.46476252928846</v>
      </c>
      <c r="FM95" s="164">
        <f>LARGE(FM22:FM57,1)</f>
        <v>483.0053394292369</v>
      </c>
      <c r="FN95" s="164"/>
      <c r="FO95" s="164"/>
    </row>
    <row r="96" spans="1:171" ht="13.5" thickBot="1">
      <c r="A96" s="239"/>
      <c r="B96" s="170" t="s">
        <v>78</v>
      </c>
      <c r="C96" s="171"/>
      <c r="D96" s="172"/>
      <c r="E96" s="173">
        <f>AVERAGE(E22:E57)</f>
        <v>21.305555555555557</v>
      </c>
      <c r="F96" s="173">
        <f>AVERAGE(F22:F57)</f>
        <v>35.461111111111116</v>
      </c>
      <c r="G96" s="172"/>
      <c r="H96" s="172"/>
      <c r="I96" s="172"/>
      <c r="J96" s="173">
        <f>AVERAGE(J22:J57)</f>
        <v>12.005719117427587</v>
      </c>
      <c r="K96" s="172"/>
      <c r="L96" s="172"/>
      <c r="M96" s="172"/>
      <c r="N96" s="173">
        <f aca="true" t="shared" si="135" ref="N96:T96">AVERAGE(N22:N57)</f>
        <v>-26.75497811088782</v>
      </c>
      <c r="O96" s="173">
        <f t="shared" si="135"/>
        <v>79.21666293343178</v>
      </c>
      <c r="P96" s="173">
        <f t="shared" si="135"/>
        <v>0</v>
      </c>
      <c r="Q96" s="173"/>
      <c r="R96" s="173">
        <f t="shared" si="135"/>
        <v>24.663306409504663</v>
      </c>
      <c r="S96" s="173">
        <f t="shared" si="135"/>
        <v>0.9093527065426541</v>
      </c>
      <c r="T96" s="173">
        <f t="shared" si="135"/>
        <v>10.797804701606454</v>
      </c>
      <c r="U96" s="611"/>
      <c r="V96" s="71"/>
      <c r="W96" s="71"/>
      <c r="X96" s="233"/>
      <c r="Y96" s="672"/>
      <c r="Z96" s="622"/>
      <c r="AA96" s="622"/>
      <c r="AB96" s="622"/>
      <c r="AC96" s="622"/>
      <c r="AD96" s="623"/>
      <c r="AE96" s="623"/>
      <c r="AF96" s="623"/>
      <c r="AG96" s="624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244"/>
      <c r="CT96" s="244"/>
      <c r="CU96" s="244"/>
      <c r="CV96" s="244"/>
      <c r="CW96" s="239"/>
      <c r="CX96" s="239"/>
      <c r="CY96" s="239"/>
      <c r="CZ96" s="239"/>
      <c r="DA96" s="239"/>
      <c r="DB96" s="239"/>
      <c r="DC96" s="239"/>
      <c r="DD96" s="239"/>
      <c r="DE96" s="239"/>
      <c r="DF96" s="239"/>
      <c r="DG96" s="239"/>
      <c r="DH96" s="239"/>
      <c r="DI96" s="239"/>
      <c r="DJ96" s="239"/>
      <c r="DK96" s="239"/>
      <c r="DL96" s="239"/>
      <c r="DM96" s="239"/>
      <c r="DN96" s="239"/>
      <c r="DO96" s="239"/>
      <c r="DP96" s="239"/>
      <c r="DQ96" s="239"/>
      <c r="DR96" s="239"/>
      <c r="DS96" s="239"/>
      <c r="DT96" s="239"/>
      <c r="DU96" s="239"/>
      <c r="DV96" s="239"/>
      <c r="DW96" s="239"/>
      <c r="DX96" s="239"/>
      <c r="DY96" s="239"/>
      <c r="DZ96" s="239"/>
      <c r="EA96" s="239"/>
      <c r="EB96" s="239"/>
      <c r="EC96" s="239"/>
      <c r="ED96" s="239"/>
      <c r="EE96" s="239"/>
      <c r="EF96" s="239"/>
      <c r="EP96" s="162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>
        <f>IF(FM95&lt;EP11,1,0)</f>
        <v>0</v>
      </c>
      <c r="FN96" s="164"/>
      <c r="FO96" s="164"/>
    </row>
    <row r="97" spans="1:171" ht="12.75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44"/>
      <c r="P97" s="244"/>
      <c r="Q97" s="244"/>
      <c r="R97" s="244"/>
      <c r="S97" s="239"/>
      <c r="T97" s="239"/>
      <c r="U97" s="239"/>
      <c r="V97" s="239"/>
      <c r="W97" s="239"/>
      <c r="X97" s="604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  <c r="CM97" s="239"/>
      <c r="CN97" s="239"/>
      <c r="CO97" s="239"/>
      <c r="CP97" s="239"/>
      <c r="CQ97" s="239"/>
      <c r="CR97" s="239"/>
      <c r="CS97" s="244"/>
      <c r="CT97" s="244"/>
      <c r="CU97" s="244"/>
      <c r="CV97" s="244"/>
      <c r="CW97" s="239"/>
      <c r="CX97" s="239"/>
      <c r="CY97" s="239"/>
      <c r="CZ97" s="239"/>
      <c r="DA97" s="239"/>
      <c r="DB97" s="239"/>
      <c r="DC97" s="239"/>
      <c r="DD97" s="239"/>
      <c r="DE97" s="239"/>
      <c r="DF97" s="239"/>
      <c r="DG97" s="239"/>
      <c r="DH97" s="239"/>
      <c r="DI97" s="239"/>
      <c r="DJ97" s="239"/>
      <c r="DK97" s="239"/>
      <c r="DL97" s="239"/>
      <c r="DM97" s="239"/>
      <c r="DN97" s="239"/>
      <c r="DO97" s="239"/>
      <c r="DP97" s="239"/>
      <c r="DQ97" s="239"/>
      <c r="DR97" s="239"/>
      <c r="DS97" s="239"/>
      <c r="DT97" s="239"/>
      <c r="DU97" s="239"/>
      <c r="DV97" s="239"/>
      <c r="DW97" s="239"/>
      <c r="DX97" s="239"/>
      <c r="DY97" s="239"/>
      <c r="DZ97" s="239"/>
      <c r="EA97" s="239"/>
      <c r="EB97" s="239"/>
      <c r="EC97" s="239"/>
      <c r="ED97" s="239"/>
      <c r="EE97" s="239"/>
      <c r="EF97" s="239"/>
      <c r="EP97" s="162"/>
      <c r="EQ97" s="164"/>
      <c r="ER97" s="164"/>
      <c r="ES97" s="162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</row>
    <row r="98" spans="1:171" ht="12.75">
      <c r="A98" s="239"/>
      <c r="B98" s="239"/>
      <c r="C98" s="239"/>
      <c r="D98" s="239"/>
      <c r="E98" s="239"/>
      <c r="F98" s="239"/>
      <c r="G98" s="239" t="s">
        <v>18</v>
      </c>
      <c r="H98" s="239"/>
      <c r="I98" s="239"/>
      <c r="J98" s="239"/>
      <c r="K98" s="239" t="s">
        <v>18</v>
      </c>
      <c r="L98" s="239" t="s">
        <v>18</v>
      </c>
      <c r="M98" s="239"/>
      <c r="N98" s="239"/>
      <c r="O98" s="244"/>
      <c r="P98" s="244"/>
      <c r="Q98" s="244"/>
      <c r="R98" s="244"/>
      <c r="S98" s="239"/>
      <c r="T98" s="239"/>
      <c r="U98" s="239"/>
      <c r="V98" s="239"/>
      <c r="W98" s="239"/>
      <c r="X98" s="604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  <c r="CM98" s="239"/>
      <c r="CN98" s="239"/>
      <c r="CO98" s="239"/>
      <c r="CP98" s="239"/>
      <c r="CQ98" s="239"/>
      <c r="CR98" s="239"/>
      <c r="CS98" s="244"/>
      <c r="CT98" s="244"/>
      <c r="CU98" s="244"/>
      <c r="CV98" s="244"/>
      <c r="CW98" s="239"/>
      <c r="CX98" s="239"/>
      <c r="CY98" s="239"/>
      <c r="CZ98" s="239"/>
      <c r="DA98" s="239"/>
      <c r="DB98" s="239"/>
      <c r="DC98" s="239"/>
      <c r="DD98" s="239"/>
      <c r="DE98" s="239"/>
      <c r="DF98" s="239"/>
      <c r="DG98" s="239"/>
      <c r="DH98" s="239"/>
      <c r="DI98" s="239"/>
      <c r="DJ98" s="239"/>
      <c r="DK98" s="239"/>
      <c r="DL98" s="239"/>
      <c r="DM98" s="239"/>
      <c r="DN98" s="239"/>
      <c r="DO98" s="239"/>
      <c r="DP98" s="239"/>
      <c r="DQ98" s="239"/>
      <c r="DR98" s="239"/>
      <c r="DS98" s="239"/>
      <c r="DT98" s="239"/>
      <c r="DU98" s="239"/>
      <c r="DV98" s="239"/>
      <c r="DW98" s="239"/>
      <c r="DX98" s="239"/>
      <c r="DY98" s="239"/>
      <c r="DZ98" s="239"/>
      <c r="EA98" s="239"/>
      <c r="EB98" s="239"/>
      <c r="EC98" s="239"/>
      <c r="ED98" s="239"/>
      <c r="EE98" s="239"/>
      <c r="EF98" s="239"/>
      <c r="EP98" s="162"/>
      <c r="EQ98" s="164"/>
      <c r="ER98" s="164"/>
      <c r="ES98" s="162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</row>
    <row r="99" spans="1:171" ht="12.75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44"/>
      <c r="P99" s="244"/>
      <c r="Q99" s="244"/>
      <c r="R99" s="244"/>
      <c r="S99" s="239"/>
      <c r="T99" s="239"/>
      <c r="U99" s="239"/>
      <c r="V99" s="239"/>
      <c r="W99" s="239"/>
      <c r="X99" s="604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BO99" s="239"/>
      <c r="BP99" s="239"/>
      <c r="BQ99" s="239"/>
      <c r="BR99" s="239"/>
      <c r="BS99" s="239"/>
      <c r="BT99" s="239"/>
      <c r="BU99" s="239"/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  <c r="CF99" s="239"/>
      <c r="CG99" s="239"/>
      <c r="CH99" s="239"/>
      <c r="CI99" s="239"/>
      <c r="CJ99" s="239"/>
      <c r="CK99" s="239"/>
      <c r="CL99" s="239"/>
      <c r="CM99" s="239"/>
      <c r="CN99" s="239"/>
      <c r="CO99" s="239"/>
      <c r="CP99" s="239"/>
      <c r="CQ99" s="239"/>
      <c r="CR99" s="239"/>
      <c r="CS99" s="244"/>
      <c r="CT99" s="244"/>
      <c r="CU99" s="244"/>
      <c r="CV99" s="244"/>
      <c r="CW99" s="239"/>
      <c r="CX99" s="239"/>
      <c r="CY99" s="239"/>
      <c r="CZ99" s="239"/>
      <c r="DA99" s="239"/>
      <c r="DB99" s="239"/>
      <c r="DC99" s="239"/>
      <c r="DD99" s="239"/>
      <c r="DE99" s="239"/>
      <c r="DF99" s="239"/>
      <c r="DG99" s="239"/>
      <c r="DH99" s="239"/>
      <c r="DI99" s="239"/>
      <c r="DJ99" s="239"/>
      <c r="DK99" s="239"/>
      <c r="DL99" s="239"/>
      <c r="DM99" s="239"/>
      <c r="DN99" s="239"/>
      <c r="DO99" s="239"/>
      <c r="DP99" s="239"/>
      <c r="DQ99" s="239"/>
      <c r="DR99" s="239"/>
      <c r="DS99" s="239"/>
      <c r="DT99" s="239"/>
      <c r="DU99" s="239"/>
      <c r="DV99" s="239"/>
      <c r="DW99" s="239"/>
      <c r="DX99" s="239"/>
      <c r="DY99" s="239"/>
      <c r="DZ99" s="239"/>
      <c r="EA99" s="239"/>
      <c r="EB99" s="239"/>
      <c r="EC99" s="239"/>
      <c r="ED99" s="239"/>
      <c r="EE99" s="239"/>
      <c r="EF99" s="239"/>
      <c r="EP99" s="162"/>
      <c r="EQ99" s="164"/>
      <c r="ER99" s="164"/>
      <c r="ES99" s="162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</row>
    <row r="100" spans="1:171" ht="12.75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44"/>
      <c r="P100" s="244"/>
      <c r="Q100" s="244"/>
      <c r="R100" s="244"/>
      <c r="S100" s="239"/>
      <c r="T100" s="239"/>
      <c r="U100" s="239"/>
      <c r="V100" s="239"/>
      <c r="W100" s="239"/>
      <c r="X100" s="604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  <c r="CM100" s="239"/>
      <c r="CN100" s="239"/>
      <c r="CO100" s="239"/>
      <c r="CP100" s="239"/>
      <c r="CQ100" s="239"/>
      <c r="CR100" s="239"/>
      <c r="CS100" s="244"/>
      <c r="CT100" s="244"/>
      <c r="CU100" s="244"/>
      <c r="CV100" s="244"/>
      <c r="CW100" s="239"/>
      <c r="CX100" s="239"/>
      <c r="CY100" s="239"/>
      <c r="CZ100" s="239"/>
      <c r="DA100" s="239"/>
      <c r="DB100" s="239"/>
      <c r="DC100" s="239"/>
      <c r="DD100" s="239"/>
      <c r="DE100" s="239"/>
      <c r="DF100" s="239"/>
      <c r="DG100" s="239"/>
      <c r="DH100" s="239"/>
      <c r="DI100" s="239"/>
      <c r="DJ100" s="239"/>
      <c r="DK100" s="239"/>
      <c r="DL100" s="239"/>
      <c r="DM100" s="239"/>
      <c r="DN100" s="239"/>
      <c r="DO100" s="239"/>
      <c r="DP100" s="239"/>
      <c r="DQ100" s="239"/>
      <c r="DR100" s="239"/>
      <c r="DS100" s="239"/>
      <c r="DT100" s="239"/>
      <c r="DU100" s="239"/>
      <c r="DV100" s="239"/>
      <c r="DW100" s="239"/>
      <c r="DX100" s="239"/>
      <c r="DY100" s="239"/>
      <c r="DZ100" s="239"/>
      <c r="EA100" s="239"/>
      <c r="EB100" s="239"/>
      <c r="EC100" s="239"/>
      <c r="ED100" s="239"/>
      <c r="EE100" s="239"/>
      <c r="EF100" s="239"/>
      <c r="EP100" s="162"/>
      <c r="EQ100" s="164"/>
      <c r="ER100" s="164"/>
      <c r="ES100" s="162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</row>
    <row r="101" spans="1:171" ht="12.75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44"/>
      <c r="P101" s="244"/>
      <c r="Q101" s="244"/>
      <c r="R101" s="244"/>
      <c r="S101" s="239"/>
      <c r="T101" s="239"/>
      <c r="U101" s="239"/>
      <c r="V101" s="239"/>
      <c r="W101" s="239"/>
      <c r="X101" s="604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  <c r="CM101" s="239"/>
      <c r="CN101" s="239"/>
      <c r="CO101" s="239"/>
      <c r="CP101" s="239"/>
      <c r="CQ101" s="239"/>
      <c r="CR101" s="239"/>
      <c r="CS101" s="244"/>
      <c r="CT101" s="244"/>
      <c r="CU101" s="244"/>
      <c r="CV101" s="244"/>
      <c r="CW101" s="239"/>
      <c r="CX101" s="239"/>
      <c r="CY101" s="239"/>
      <c r="CZ101" s="239"/>
      <c r="DA101" s="239"/>
      <c r="DB101" s="239"/>
      <c r="DC101" s="239"/>
      <c r="DD101" s="239"/>
      <c r="DE101" s="239"/>
      <c r="DF101" s="239"/>
      <c r="DG101" s="239"/>
      <c r="DH101" s="239"/>
      <c r="DI101" s="239"/>
      <c r="DJ101" s="239"/>
      <c r="DK101" s="239"/>
      <c r="DL101" s="239"/>
      <c r="DM101" s="239"/>
      <c r="DN101" s="239"/>
      <c r="DO101" s="239"/>
      <c r="DP101" s="239"/>
      <c r="DQ101" s="239"/>
      <c r="DR101" s="239"/>
      <c r="DS101" s="239"/>
      <c r="DT101" s="239"/>
      <c r="DU101" s="239"/>
      <c r="DV101" s="239"/>
      <c r="DW101" s="239"/>
      <c r="DX101" s="239"/>
      <c r="DY101" s="239"/>
      <c r="DZ101" s="239"/>
      <c r="EA101" s="239"/>
      <c r="EB101" s="239"/>
      <c r="EC101" s="239"/>
      <c r="ED101" s="239"/>
      <c r="EE101" s="239"/>
      <c r="EF101" s="239"/>
      <c r="EP101" s="162"/>
      <c r="EQ101" s="164"/>
      <c r="ER101" s="164"/>
      <c r="ES101" s="162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</row>
    <row r="102" spans="15:171" ht="12.75">
      <c r="O102" s="4"/>
      <c r="P102" s="4"/>
      <c r="Q102" s="4"/>
      <c r="R102" s="4"/>
      <c r="EP102" s="162"/>
      <c r="EQ102" s="164"/>
      <c r="ER102" s="164"/>
      <c r="ES102" s="162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</row>
    <row r="103" spans="15:171" ht="12.75">
      <c r="O103" s="4"/>
      <c r="P103" s="4"/>
      <c r="Q103" s="4"/>
      <c r="R103" s="4"/>
      <c r="EP103" s="162"/>
      <c r="EQ103" s="164"/>
      <c r="ER103" s="164"/>
      <c r="ES103" s="162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</row>
    <row r="104" spans="146:171" ht="12.75">
      <c r="EP104" s="164"/>
      <c r="EQ104" s="164"/>
      <c r="ER104" s="164"/>
      <c r="ES104" s="162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</row>
    <row r="105" spans="146:171" ht="12.75">
      <c r="EP105" s="164"/>
      <c r="EQ105" s="164"/>
      <c r="ER105" s="164"/>
      <c r="ES105" s="162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</row>
    <row r="106" spans="146:171" ht="12.75">
      <c r="EP106" s="164"/>
      <c r="EQ106" s="164"/>
      <c r="ER106" s="164"/>
      <c r="ES106" s="162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</row>
    <row r="107" spans="146:171" ht="12.75">
      <c r="EP107" s="164"/>
      <c r="EQ107" s="164"/>
      <c r="ER107" s="164"/>
      <c r="ES107" s="162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</row>
    <row r="108" spans="146:171" ht="12.75">
      <c r="EP108" s="164"/>
      <c r="EQ108" s="164"/>
      <c r="ER108" s="164"/>
      <c r="ES108" s="162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</row>
    <row r="109" spans="146:171" ht="12.75">
      <c r="EP109" s="164"/>
      <c r="EQ109" s="164"/>
      <c r="ER109" s="164"/>
      <c r="ES109" s="162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</row>
    <row r="110" spans="146:171" ht="12.75">
      <c r="EP110" s="164"/>
      <c r="EQ110" s="164"/>
      <c r="ER110" s="164"/>
      <c r="ES110" s="162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</row>
    <row r="111" spans="146:171" ht="12.75">
      <c r="EP111" s="164"/>
      <c r="EQ111" s="164"/>
      <c r="ER111" s="164"/>
      <c r="ES111" s="162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</row>
    <row r="112" spans="146:171" ht="12.75">
      <c r="EP112" s="164"/>
      <c r="EQ112" s="164"/>
      <c r="ER112" s="164"/>
      <c r="ES112" s="162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</row>
    <row r="113" spans="146:171" ht="12.75">
      <c r="EP113" s="164"/>
      <c r="EQ113" s="164"/>
      <c r="ER113" s="164"/>
      <c r="ES113" s="162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</row>
    <row r="114" spans="146:171" ht="12.75">
      <c r="EP114" s="164"/>
      <c r="EQ114" s="164"/>
      <c r="ER114" s="164"/>
      <c r="ES114" s="162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</row>
    <row r="115" spans="146:171" ht="12.75">
      <c r="EP115" s="164"/>
      <c r="EQ115" s="164"/>
      <c r="ER115" s="164"/>
      <c r="ES115" s="162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</row>
    <row r="116" spans="146:171" ht="12.75">
      <c r="EP116" s="164"/>
      <c r="EQ116" s="164"/>
      <c r="ER116" s="164"/>
      <c r="ES116" s="162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</row>
    <row r="117" spans="146:171" ht="12.75">
      <c r="EP117" s="164"/>
      <c r="EQ117" s="164"/>
      <c r="ER117" s="164"/>
      <c r="ES117" s="162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</row>
    <row r="118" spans="146:171" ht="12.75">
      <c r="EP118" s="164"/>
      <c r="EQ118" s="164"/>
      <c r="ER118" s="164"/>
      <c r="ES118" s="162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</row>
    <row r="119" spans="146:171" ht="12.75">
      <c r="EP119" s="164"/>
      <c r="EQ119" s="164"/>
      <c r="ER119" s="164"/>
      <c r="ES119" s="162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</row>
    <row r="120" spans="146:171" ht="12.75">
      <c r="EP120" s="164"/>
      <c r="EQ120" s="164"/>
      <c r="ER120" s="164"/>
      <c r="ES120" s="162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</row>
    <row r="121" spans="146:171" ht="12.75">
      <c r="EP121" s="164"/>
      <c r="EQ121" s="164"/>
      <c r="ER121" s="164"/>
      <c r="ES121" s="162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</row>
    <row r="122" spans="146:171" ht="12.75">
      <c r="EP122" s="164"/>
      <c r="EQ122" s="164"/>
      <c r="ER122" s="164"/>
      <c r="ES122" s="162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</row>
    <row r="123" spans="146:171" ht="12.75">
      <c r="EP123" s="164"/>
      <c r="EQ123" s="164"/>
      <c r="ER123" s="164"/>
      <c r="ES123" s="162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</row>
    <row r="124" spans="146:171" ht="12.75">
      <c r="EP124" s="164"/>
      <c r="EQ124" s="164"/>
      <c r="ER124" s="164"/>
      <c r="ES124" s="162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164"/>
      <c r="FI124" s="164"/>
      <c r="FJ124" s="164"/>
      <c r="FK124" s="164"/>
      <c r="FL124" s="164"/>
      <c r="FM124" s="164"/>
      <c r="FN124" s="164"/>
      <c r="FO124" s="164"/>
    </row>
    <row r="125" spans="146:171" ht="12.75">
      <c r="EP125" s="164"/>
      <c r="EQ125" s="164"/>
      <c r="ER125" s="164"/>
      <c r="ES125" s="162"/>
      <c r="ET125" s="164"/>
      <c r="EU125" s="164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</row>
    <row r="126" spans="146:171" ht="12.75">
      <c r="EP126" s="164"/>
      <c r="EQ126" s="164"/>
      <c r="ER126" s="164"/>
      <c r="ES126" s="162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</row>
    <row r="127" spans="146:171" ht="12.75">
      <c r="EP127" s="164"/>
      <c r="EQ127" s="164"/>
      <c r="ER127" s="164"/>
      <c r="ES127" s="162"/>
      <c r="ET127" s="164"/>
      <c r="EU127" s="164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4"/>
      <c r="FG127" s="164"/>
      <c r="FH127" s="164"/>
      <c r="FI127" s="164"/>
      <c r="FJ127" s="164"/>
      <c r="FK127" s="164"/>
      <c r="FL127" s="164"/>
      <c r="FM127" s="164"/>
      <c r="FN127" s="164"/>
      <c r="FO127" s="164"/>
    </row>
    <row r="128" spans="146:171" ht="12.75">
      <c r="EP128" s="164"/>
      <c r="EQ128" s="164"/>
      <c r="ER128" s="164"/>
      <c r="ES128" s="162"/>
      <c r="ET128" s="164"/>
      <c r="EU128" s="164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4"/>
      <c r="FF128" s="164"/>
      <c r="FG128" s="164"/>
      <c r="FH128" s="164"/>
      <c r="FI128" s="164"/>
      <c r="FJ128" s="164"/>
      <c r="FK128" s="164"/>
      <c r="FL128" s="164"/>
      <c r="FM128" s="164"/>
      <c r="FN128" s="164"/>
      <c r="FO128" s="164"/>
    </row>
    <row r="129" spans="146:171" ht="12.75">
      <c r="EP129" s="164"/>
      <c r="EQ129" s="164"/>
      <c r="ER129" s="164"/>
      <c r="ES129" s="162"/>
      <c r="ET129" s="164"/>
      <c r="EU129" s="164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4"/>
      <c r="FG129" s="164"/>
      <c r="FH129" s="164"/>
      <c r="FI129" s="164"/>
      <c r="FJ129" s="164"/>
      <c r="FK129" s="164"/>
      <c r="FL129" s="164"/>
      <c r="FM129" s="164"/>
      <c r="FN129" s="164"/>
      <c r="FO129" s="164"/>
    </row>
    <row r="130" spans="146:171" ht="12.75">
      <c r="EP130" s="164"/>
      <c r="EQ130" s="164"/>
      <c r="ER130" s="164"/>
      <c r="ES130" s="162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4"/>
      <c r="FK130" s="164"/>
      <c r="FL130" s="164"/>
      <c r="FM130" s="164"/>
      <c r="FN130" s="164"/>
      <c r="FO130" s="164"/>
    </row>
    <row r="131" spans="146:171" ht="12.75">
      <c r="EP131" s="164"/>
      <c r="EQ131" s="164"/>
      <c r="ER131" s="164"/>
      <c r="ES131" s="162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</row>
    <row r="132" spans="146:171" ht="12.75">
      <c r="EP132" s="164"/>
      <c r="EQ132" s="164"/>
      <c r="ER132" s="164"/>
      <c r="ES132" s="162"/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4"/>
      <c r="FK132" s="164"/>
      <c r="FL132" s="164"/>
      <c r="FM132" s="164"/>
      <c r="FN132" s="164"/>
      <c r="FO132" s="164"/>
    </row>
    <row r="133" spans="146:171" ht="12.75">
      <c r="EP133" s="164"/>
      <c r="EQ133" s="164"/>
      <c r="ER133" s="164"/>
      <c r="ES133" s="162"/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</row>
    <row r="134" spans="146:171" ht="12.75">
      <c r="EP134" s="164"/>
      <c r="EQ134" s="164"/>
      <c r="ER134" s="164"/>
      <c r="ES134" s="162"/>
      <c r="ET134" s="164"/>
      <c r="EU134" s="164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</row>
    <row r="135" spans="146:171" ht="12.75">
      <c r="EP135" s="164"/>
      <c r="EQ135" s="164"/>
      <c r="ER135" s="164"/>
      <c r="ES135" s="162"/>
      <c r="ET135" s="164"/>
      <c r="EU135" s="164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4"/>
      <c r="FF135" s="164"/>
      <c r="FG135" s="164"/>
      <c r="FH135" s="164"/>
      <c r="FI135" s="164"/>
      <c r="FJ135" s="164"/>
      <c r="FK135" s="164"/>
      <c r="FL135" s="164"/>
      <c r="FM135" s="164"/>
      <c r="FN135" s="164"/>
      <c r="FO135" s="164"/>
    </row>
    <row r="136" spans="146:171" ht="12.75">
      <c r="EP136" s="164"/>
      <c r="EQ136" s="164"/>
      <c r="ER136" s="164"/>
      <c r="ES136" s="162"/>
      <c r="ET136" s="164"/>
      <c r="EU136" s="164"/>
      <c r="EV136" s="164"/>
      <c r="EW136" s="164"/>
      <c r="EX136" s="164"/>
      <c r="EY136" s="164"/>
      <c r="EZ136" s="164"/>
      <c r="FA136" s="164"/>
      <c r="FB136" s="164"/>
      <c r="FC136" s="164"/>
      <c r="FD136" s="164"/>
      <c r="FE136" s="164"/>
      <c r="FF136" s="164"/>
      <c r="FG136" s="164"/>
      <c r="FH136" s="164"/>
      <c r="FI136" s="164"/>
      <c r="FJ136" s="164"/>
      <c r="FK136" s="164"/>
      <c r="FL136" s="164"/>
      <c r="FM136" s="164"/>
      <c r="FN136" s="164"/>
      <c r="FO136" s="164"/>
    </row>
    <row r="137" spans="146:171" ht="12.75">
      <c r="EP137" s="164"/>
      <c r="EQ137" s="164"/>
      <c r="ER137" s="164"/>
      <c r="ES137" s="162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</row>
    <row r="138" spans="146:171" ht="12.75">
      <c r="EP138" s="164"/>
      <c r="EQ138" s="164"/>
      <c r="ER138" s="164"/>
      <c r="ES138" s="162"/>
      <c r="ET138" s="164"/>
      <c r="EU138" s="164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4"/>
      <c r="FG138" s="164"/>
      <c r="FH138" s="164"/>
      <c r="FI138" s="164"/>
      <c r="FJ138" s="164"/>
      <c r="FK138" s="164"/>
      <c r="FL138" s="164"/>
      <c r="FM138" s="164"/>
      <c r="FN138" s="164"/>
      <c r="FO138" s="164"/>
    </row>
    <row r="139" spans="146:171" ht="12.75">
      <c r="EP139" s="164"/>
      <c r="EQ139" s="164"/>
      <c r="ER139" s="164"/>
      <c r="ES139" s="162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64"/>
      <c r="FK139" s="164"/>
      <c r="FL139" s="164"/>
      <c r="FM139" s="164"/>
      <c r="FN139" s="164"/>
      <c r="FO139" s="164"/>
    </row>
    <row r="140" spans="146:171" ht="12.75">
      <c r="EP140" s="164"/>
      <c r="EQ140" s="164"/>
      <c r="ER140" s="164"/>
      <c r="ES140" s="162"/>
      <c r="ET140" s="164"/>
      <c r="EU140" s="164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4"/>
      <c r="FG140" s="164"/>
      <c r="FH140" s="164"/>
      <c r="FI140" s="164"/>
      <c r="FJ140" s="164"/>
      <c r="FK140" s="164"/>
      <c r="FL140" s="164"/>
      <c r="FM140" s="164"/>
      <c r="FN140" s="164"/>
      <c r="FO140" s="164"/>
    </row>
    <row r="141" spans="146:171" ht="12.75">
      <c r="EP141" s="164"/>
      <c r="EQ141" s="164"/>
      <c r="ER141" s="164"/>
      <c r="ES141" s="162"/>
      <c r="ET141" s="164"/>
      <c r="EU141" s="164"/>
      <c r="EV141" s="164"/>
      <c r="EW141" s="164"/>
      <c r="EX141" s="164"/>
      <c r="EY141" s="164"/>
      <c r="EZ141" s="164"/>
      <c r="FA141" s="164"/>
      <c r="FB141" s="164"/>
      <c r="FC141" s="164"/>
      <c r="FD141" s="164"/>
      <c r="FE141" s="164"/>
      <c r="FF141" s="164"/>
      <c r="FG141" s="164"/>
      <c r="FH141" s="164"/>
      <c r="FI141" s="164"/>
      <c r="FJ141" s="164"/>
      <c r="FK141" s="164"/>
      <c r="FL141" s="164"/>
      <c r="FM141" s="164"/>
      <c r="FN141" s="164"/>
      <c r="FO141" s="164"/>
    </row>
    <row r="142" spans="146:171" ht="12.75">
      <c r="EP142" s="164"/>
      <c r="EQ142" s="164"/>
      <c r="ER142" s="164"/>
      <c r="ES142" s="162"/>
      <c r="ET142" s="164"/>
      <c r="EU142" s="164"/>
      <c r="EV142" s="164"/>
      <c r="EW142" s="164"/>
      <c r="EX142" s="164"/>
      <c r="EY142" s="164"/>
      <c r="EZ142" s="164"/>
      <c r="FA142" s="164"/>
      <c r="FB142" s="164"/>
      <c r="FC142" s="164"/>
      <c r="FD142" s="164"/>
      <c r="FE142" s="164"/>
      <c r="FF142" s="164"/>
      <c r="FG142" s="164"/>
      <c r="FH142" s="164"/>
      <c r="FI142" s="164"/>
      <c r="FJ142" s="164"/>
      <c r="FK142" s="164"/>
      <c r="FL142" s="164"/>
      <c r="FM142" s="164"/>
      <c r="FN142" s="164"/>
      <c r="FO142" s="164"/>
    </row>
    <row r="143" spans="146:171" ht="12.75">
      <c r="EP143" s="164"/>
      <c r="EQ143" s="164"/>
      <c r="ER143" s="164"/>
      <c r="ES143" s="162"/>
      <c r="ET143" s="164"/>
      <c r="EU143" s="164"/>
      <c r="EV143" s="164"/>
      <c r="EW143" s="164"/>
      <c r="EX143" s="164"/>
      <c r="EY143" s="164"/>
      <c r="EZ143" s="164"/>
      <c r="FA143" s="164"/>
      <c r="FB143" s="164"/>
      <c r="FC143" s="164"/>
      <c r="FD143" s="164"/>
      <c r="FE143" s="164"/>
      <c r="FF143" s="164"/>
      <c r="FG143" s="164"/>
      <c r="FH143" s="164"/>
      <c r="FI143" s="164"/>
      <c r="FJ143" s="164"/>
      <c r="FK143" s="164"/>
      <c r="FL143" s="164"/>
      <c r="FM143" s="164"/>
      <c r="FN143" s="164"/>
      <c r="FO143" s="164"/>
    </row>
    <row r="144" spans="146:171" ht="12.75">
      <c r="EP144" s="164"/>
      <c r="EQ144" s="164"/>
      <c r="ER144" s="164"/>
      <c r="ES144" s="162"/>
      <c r="ET144" s="164"/>
      <c r="EU144" s="164"/>
      <c r="EV144" s="164"/>
      <c r="EW144" s="164"/>
      <c r="EX144" s="164"/>
      <c r="EY144" s="164"/>
      <c r="EZ144" s="164"/>
      <c r="FA144" s="164"/>
      <c r="FB144" s="164"/>
      <c r="FC144" s="164"/>
      <c r="FD144" s="164"/>
      <c r="FE144" s="164"/>
      <c r="FF144" s="164"/>
      <c r="FG144" s="164"/>
      <c r="FH144" s="164"/>
      <c r="FI144" s="164"/>
      <c r="FJ144" s="164"/>
      <c r="FK144" s="164"/>
      <c r="FL144" s="164"/>
      <c r="FM144" s="164"/>
      <c r="FN144" s="164"/>
      <c r="FO144" s="164"/>
    </row>
    <row r="145" spans="146:171" ht="12.75">
      <c r="EP145" s="164"/>
      <c r="EQ145" s="164"/>
      <c r="ER145" s="164"/>
      <c r="ES145" s="162"/>
      <c r="ET145" s="164"/>
      <c r="EU145" s="164"/>
      <c r="EV145" s="164"/>
      <c r="EW145" s="164"/>
      <c r="EX145" s="164"/>
      <c r="EY145" s="164"/>
      <c r="EZ145" s="164"/>
      <c r="FA145" s="164"/>
      <c r="FB145" s="164"/>
      <c r="FC145" s="164"/>
      <c r="FD145" s="164"/>
      <c r="FE145" s="164"/>
      <c r="FF145" s="164"/>
      <c r="FG145" s="164"/>
      <c r="FH145" s="164"/>
      <c r="FI145" s="164"/>
      <c r="FJ145" s="164"/>
      <c r="FK145" s="164"/>
      <c r="FL145" s="164"/>
      <c r="FM145" s="164"/>
      <c r="FN145" s="164"/>
      <c r="FO145" s="164"/>
    </row>
    <row r="146" spans="146:171" ht="12.75">
      <c r="EP146" s="164"/>
      <c r="EQ146" s="164"/>
      <c r="ER146" s="164"/>
      <c r="ES146" s="162"/>
      <c r="ET146" s="164"/>
      <c r="EU146" s="164"/>
      <c r="EV146" s="164"/>
      <c r="EW146" s="164"/>
      <c r="EX146" s="164"/>
      <c r="EY146" s="164"/>
      <c r="EZ146" s="164"/>
      <c r="FA146" s="164"/>
      <c r="FB146" s="164"/>
      <c r="FC146" s="164"/>
      <c r="FD146" s="164"/>
      <c r="FE146" s="164"/>
      <c r="FF146" s="164"/>
      <c r="FG146" s="164"/>
      <c r="FH146" s="164"/>
      <c r="FI146" s="164"/>
      <c r="FJ146" s="164"/>
      <c r="FK146" s="164"/>
      <c r="FL146" s="164"/>
      <c r="FM146" s="164"/>
      <c r="FN146" s="164"/>
      <c r="FO146" s="164"/>
    </row>
    <row r="147" spans="146:171" ht="12.75">
      <c r="EP147" s="164"/>
      <c r="EQ147" s="164"/>
      <c r="ER147" s="164"/>
      <c r="ES147" s="162"/>
      <c r="ET147" s="164"/>
      <c r="EU147" s="164"/>
      <c r="EV147" s="164"/>
      <c r="EW147" s="164"/>
      <c r="EX147" s="164"/>
      <c r="EY147" s="164"/>
      <c r="EZ147" s="164"/>
      <c r="FA147" s="164"/>
      <c r="FB147" s="164"/>
      <c r="FC147" s="164"/>
      <c r="FD147" s="164"/>
      <c r="FE147" s="164"/>
      <c r="FF147" s="164"/>
      <c r="FG147" s="164"/>
      <c r="FH147" s="164"/>
      <c r="FI147" s="164"/>
      <c r="FJ147" s="164"/>
      <c r="FK147" s="164"/>
      <c r="FL147" s="164"/>
      <c r="FM147" s="164"/>
      <c r="FN147" s="164"/>
      <c r="FO147" s="164"/>
    </row>
    <row r="148" spans="146:171" ht="12.75">
      <c r="EP148" s="164"/>
      <c r="EQ148" s="164"/>
      <c r="ER148" s="164"/>
      <c r="ES148" s="162"/>
      <c r="ET148" s="164"/>
      <c r="EU148" s="164"/>
      <c r="EV148" s="164"/>
      <c r="EW148" s="164"/>
      <c r="EX148" s="164"/>
      <c r="EY148" s="164"/>
      <c r="EZ148" s="164"/>
      <c r="FA148" s="164"/>
      <c r="FB148" s="164"/>
      <c r="FC148" s="164"/>
      <c r="FD148" s="164"/>
      <c r="FE148" s="164"/>
      <c r="FF148" s="164"/>
      <c r="FG148" s="164"/>
      <c r="FH148" s="164"/>
      <c r="FI148" s="164"/>
      <c r="FJ148" s="164"/>
      <c r="FK148" s="164"/>
      <c r="FL148" s="164"/>
      <c r="FM148" s="164"/>
      <c r="FN148" s="164"/>
      <c r="FO148" s="164"/>
    </row>
    <row r="149" spans="146:171" ht="12.75">
      <c r="EP149" s="164"/>
      <c r="EQ149" s="164"/>
      <c r="ER149" s="164"/>
      <c r="ES149" s="162"/>
      <c r="ET149" s="164"/>
      <c r="EU149" s="164"/>
      <c r="EV149" s="164"/>
      <c r="EW149" s="164"/>
      <c r="EX149" s="164"/>
      <c r="EY149" s="164"/>
      <c r="EZ149" s="164"/>
      <c r="FA149" s="164"/>
      <c r="FB149" s="164"/>
      <c r="FC149" s="164"/>
      <c r="FD149" s="164"/>
      <c r="FE149" s="164"/>
      <c r="FF149" s="164"/>
      <c r="FG149" s="164"/>
      <c r="FH149" s="164"/>
      <c r="FI149" s="164"/>
      <c r="FJ149" s="164"/>
      <c r="FK149" s="164"/>
      <c r="FL149" s="164"/>
      <c r="FM149" s="164"/>
      <c r="FN149" s="164"/>
      <c r="FO149" s="164"/>
    </row>
    <row r="150" spans="146:171" ht="12.75">
      <c r="EP150" s="164"/>
      <c r="EQ150" s="164"/>
      <c r="ER150" s="164"/>
      <c r="ES150" s="162"/>
      <c r="ET150" s="164"/>
      <c r="EU150" s="164"/>
      <c r="EV150" s="164"/>
      <c r="EW150" s="164"/>
      <c r="EX150" s="164"/>
      <c r="EY150" s="164"/>
      <c r="EZ150" s="164"/>
      <c r="FA150" s="164"/>
      <c r="FB150" s="164"/>
      <c r="FC150" s="164"/>
      <c r="FD150" s="164"/>
      <c r="FE150" s="164"/>
      <c r="FF150" s="164"/>
      <c r="FG150" s="164"/>
      <c r="FH150" s="164"/>
      <c r="FI150" s="164"/>
      <c r="FJ150" s="164"/>
      <c r="FK150" s="164"/>
      <c r="FL150" s="164"/>
      <c r="FM150" s="164"/>
      <c r="FN150" s="164"/>
      <c r="FO150" s="164"/>
    </row>
    <row r="151" spans="146:171" ht="12.75">
      <c r="EP151" s="164"/>
      <c r="EQ151" s="164"/>
      <c r="ER151" s="164"/>
      <c r="ES151" s="162"/>
      <c r="ET151" s="164"/>
      <c r="EU151" s="164"/>
      <c r="EV151" s="164"/>
      <c r="EW151" s="164"/>
      <c r="EX151" s="164"/>
      <c r="EY151" s="164"/>
      <c r="EZ151" s="164"/>
      <c r="FA151" s="164"/>
      <c r="FB151" s="164"/>
      <c r="FC151" s="164"/>
      <c r="FD151" s="164"/>
      <c r="FE151" s="164"/>
      <c r="FF151" s="164"/>
      <c r="FG151" s="164"/>
      <c r="FH151" s="164"/>
      <c r="FI151" s="164"/>
      <c r="FJ151" s="164"/>
      <c r="FK151" s="164"/>
      <c r="FL151" s="164"/>
      <c r="FM151" s="164"/>
      <c r="FN151" s="164"/>
      <c r="FO151" s="164"/>
    </row>
    <row r="152" spans="146:171" ht="12.75">
      <c r="EP152" s="164"/>
      <c r="EQ152" s="164"/>
      <c r="ER152" s="164"/>
      <c r="ES152" s="162"/>
      <c r="ET152" s="164"/>
      <c r="EU152" s="164"/>
      <c r="EV152" s="164"/>
      <c r="EW152" s="164"/>
      <c r="EX152" s="164"/>
      <c r="EY152" s="164"/>
      <c r="EZ152" s="164"/>
      <c r="FA152" s="164"/>
      <c r="FB152" s="164"/>
      <c r="FC152" s="164"/>
      <c r="FD152" s="164"/>
      <c r="FE152" s="164"/>
      <c r="FF152" s="164"/>
      <c r="FG152" s="164"/>
      <c r="FH152" s="164"/>
      <c r="FI152" s="164"/>
      <c r="FJ152" s="164"/>
      <c r="FK152" s="164"/>
      <c r="FL152" s="164"/>
      <c r="FM152" s="164"/>
      <c r="FN152" s="164"/>
      <c r="FO152" s="164"/>
    </row>
    <row r="153" spans="146:171" ht="12.75">
      <c r="EP153" s="164"/>
      <c r="EQ153" s="164"/>
      <c r="ER153" s="164"/>
      <c r="ES153" s="162"/>
      <c r="ET153" s="164"/>
      <c r="EU153" s="164"/>
      <c r="EV153" s="164"/>
      <c r="EW153" s="164"/>
      <c r="EX153" s="164"/>
      <c r="EY153" s="164"/>
      <c r="EZ153" s="164"/>
      <c r="FA153" s="164"/>
      <c r="FB153" s="164"/>
      <c r="FC153" s="164"/>
      <c r="FD153" s="164"/>
      <c r="FE153" s="164"/>
      <c r="FF153" s="164"/>
      <c r="FG153" s="164"/>
      <c r="FH153" s="164"/>
      <c r="FI153" s="164"/>
      <c r="FJ153" s="164"/>
      <c r="FK153" s="164"/>
      <c r="FL153" s="164"/>
      <c r="FM153" s="164"/>
      <c r="FN153" s="164"/>
      <c r="FO153" s="164"/>
    </row>
    <row r="154" spans="146:171" ht="12.75">
      <c r="EP154" s="164"/>
      <c r="EQ154" s="164"/>
      <c r="ER154" s="164"/>
      <c r="ES154" s="162"/>
      <c r="ET154" s="164"/>
      <c r="EU154" s="164"/>
      <c r="EV154" s="164"/>
      <c r="EW154" s="164"/>
      <c r="EX154" s="164"/>
      <c r="EY154" s="164"/>
      <c r="EZ154" s="164"/>
      <c r="FA154" s="164"/>
      <c r="FB154" s="164"/>
      <c r="FC154" s="164"/>
      <c r="FD154" s="164"/>
      <c r="FE154" s="164"/>
      <c r="FF154" s="164"/>
      <c r="FG154" s="164"/>
      <c r="FH154" s="164"/>
      <c r="FI154" s="164"/>
      <c r="FJ154" s="164"/>
      <c r="FK154" s="164"/>
      <c r="FL154" s="164"/>
      <c r="FM154" s="164"/>
      <c r="FN154" s="164"/>
      <c r="FO154" s="164"/>
    </row>
    <row r="155" spans="146:171" ht="12.75">
      <c r="EP155" s="164"/>
      <c r="EQ155" s="164"/>
      <c r="ER155" s="164"/>
      <c r="ES155" s="162"/>
      <c r="ET155" s="164"/>
      <c r="EU155" s="164"/>
      <c r="EV155" s="164"/>
      <c r="EW155" s="164"/>
      <c r="EX155" s="164"/>
      <c r="EY155" s="164"/>
      <c r="EZ155" s="164"/>
      <c r="FA155" s="164"/>
      <c r="FB155" s="164"/>
      <c r="FC155" s="164"/>
      <c r="FD155" s="164"/>
      <c r="FE155" s="164"/>
      <c r="FF155" s="164"/>
      <c r="FG155" s="164"/>
      <c r="FH155" s="164"/>
      <c r="FI155" s="164"/>
      <c r="FJ155" s="164"/>
      <c r="FK155" s="164"/>
      <c r="FL155" s="164"/>
      <c r="FM155" s="164"/>
      <c r="FN155" s="164"/>
      <c r="FO155" s="164"/>
    </row>
    <row r="156" spans="146:171" ht="12.75">
      <c r="EP156" s="164"/>
      <c r="EQ156" s="164"/>
      <c r="ER156" s="164"/>
      <c r="ES156" s="162"/>
      <c r="ET156" s="164"/>
      <c r="EU156" s="164"/>
      <c r="EV156" s="164"/>
      <c r="EW156" s="164"/>
      <c r="EX156" s="164"/>
      <c r="EY156" s="164"/>
      <c r="EZ156" s="164"/>
      <c r="FA156" s="164"/>
      <c r="FB156" s="164"/>
      <c r="FC156" s="164"/>
      <c r="FD156" s="164"/>
      <c r="FE156" s="164"/>
      <c r="FF156" s="164"/>
      <c r="FG156" s="164"/>
      <c r="FH156" s="164"/>
      <c r="FI156" s="164"/>
      <c r="FJ156" s="164"/>
      <c r="FK156" s="164"/>
      <c r="FL156" s="164"/>
      <c r="FM156" s="164"/>
      <c r="FN156" s="164"/>
      <c r="FO156" s="164"/>
    </row>
    <row r="157" spans="146:171" ht="12.75">
      <c r="EP157" s="164"/>
      <c r="EQ157" s="164"/>
      <c r="ER157" s="164"/>
      <c r="ES157" s="162"/>
      <c r="ET157" s="164"/>
      <c r="EU157" s="164"/>
      <c r="EV157" s="164"/>
      <c r="EW157" s="164"/>
      <c r="EX157" s="164"/>
      <c r="EY157" s="164"/>
      <c r="EZ157" s="164"/>
      <c r="FA157" s="164"/>
      <c r="FB157" s="164"/>
      <c r="FC157" s="164"/>
      <c r="FD157" s="164"/>
      <c r="FE157" s="164"/>
      <c r="FF157" s="164"/>
      <c r="FG157" s="164"/>
      <c r="FH157" s="164"/>
      <c r="FI157" s="164"/>
      <c r="FJ157" s="164"/>
      <c r="FK157" s="164"/>
      <c r="FL157" s="164"/>
      <c r="FM157" s="164"/>
      <c r="FN157" s="164"/>
      <c r="FO157" s="164"/>
    </row>
    <row r="158" spans="146:171" ht="12.75">
      <c r="EP158" s="164"/>
      <c r="EQ158" s="164"/>
      <c r="ER158" s="164"/>
      <c r="ES158" s="162"/>
      <c r="ET158" s="164"/>
      <c r="EU158" s="164"/>
      <c r="EV158" s="164"/>
      <c r="EW158" s="164"/>
      <c r="EX158" s="164"/>
      <c r="EY158" s="164"/>
      <c r="EZ158" s="164"/>
      <c r="FA158" s="164"/>
      <c r="FB158" s="164"/>
      <c r="FC158" s="164"/>
      <c r="FD158" s="164"/>
      <c r="FE158" s="164"/>
      <c r="FF158" s="164"/>
      <c r="FG158" s="164"/>
      <c r="FH158" s="164"/>
      <c r="FI158" s="164"/>
      <c r="FJ158" s="164"/>
      <c r="FK158" s="164"/>
      <c r="FL158" s="164"/>
      <c r="FM158" s="164"/>
      <c r="FN158" s="164"/>
      <c r="FO158" s="164"/>
    </row>
    <row r="159" spans="146:171" ht="12.75">
      <c r="EP159" s="164"/>
      <c r="EQ159" s="164"/>
      <c r="ER159" s="164"/>
      <c r="ES159" s="162"/>
      <c r="ET159" s="164"/>
      <c r="EU159" s="164"/>
      <c r="EV159" s="164"/>
      <c r="EW159" s="164"/>
      <c r="EX159" s="164"/>
      <c r="EY159" s="164"/>
      <c r="EZ159" s="164"/>
      <c r="FA159" s="164"/>
      <c r="FB159" s="164"/>
      <c r="FC159" s="164"/>
      <c r="FD159" s="164"/>
      <c r="FE159" s="164"/>
      <c r="FF159" s="164"/>
      <c r="FG159" s="164"/>
      <c r="FH159" s="164"/>
      <c r="FI159" s="164"/>
      <c r="FJ159" s="164"/>
      <c r="FK159" s="164"/>
      <c r="FL159" s="164"/>
      <c r="FM159" s="164"/>
      <c r="FN159" s="164"/>
      <c r="FO159" s="164"/>
    </row>
    <row r="160" spans="146:171" ht="12.75">
      <c r="EP160" s="164"/>
      <c r="EQ160" s="164"/>
      <c r="ER160" s="164"/>
      <c r="ES160" s="162"/>
      <c r="ET160" s="164"/>
      <c r="EU160" s="164"/>
      <c r="EV160" s="164"/>
      <c r="EW160" s="164"/>
      <c r="EX160" s="164"/>
      <c r="EY160" s="164"/>
      <c r="EZ160" s="164"/>
      <c r="FA160" s="164"/>
      <c r="FB160" s="164"/>
      <c r="FC160" s="164"/>
      <c r="FD160" s="164"/>
      <c r="FE160" s="164"/>
      <c r="FF160" s="164"/>
      <c r="FG160" s="164"/>
      <c r="FH160" s="164"/>
      <c r="FI160" s="164"/>
      <c r="FJ160" s="164"/>
      <c r="FK160" s="164"/>
      <c r="FL160" s="164"/>
      <c r="FM160" s="164"/>
      <c r="FN160" s="164"/>
      <c r="FO160" s="164"/>
    </row>
    <row r="161" spans="146:171" ht="12.75">
      <c r="EP161" s="164"/>
      <c r="EQ161" s="164"/>
      <c r="ER161" s="164"/>
      <c r="ES161" s="162"/>
      <c r="ET161" s="164"/>
      <c r="EU161" s="164"/>
      <c r="EV161" s="164"/>
      <c r="EW161" s="164"/>
      <c r="EX161" s="164"/>
      <c r="EY161" s="164"/>
      <c r="EZ161" s="164"/>
      <c r="FA161" s="164"/>
      <c r="FB161" s="164"/>
      <c r="FC161" s="164"/>
      <c r="FD161" s="164"/>
      <c r="FE161" s="164"/>
      <c r="FF161" s="164"/>
      <c r="FG161" s="164"/>
      <c r="FH161" s="164"/>
      <c r="FI161" s="164"/>
      <c r="FJ161" s="164"/>
      <c r="FK161" s="164"/>
      <c r="FL161" s="164"/>
      <c r="FM161" s="164"/>
      <c r="FN161" s="164"/>
      <c r="FO161" s="164"/>
    </row>
    <row r="162" spans="146:171" ht="12.75">
      <c r="EP162" s="164"/>
      <c r="EQ162" s="164"/>
      <c r="ER162" s="164"/>
      <c r="ES162" s="162"/>
      <c r="ET162" s="164"/>
      <c r="EU162" s="164"/>
      <c r="EV162" s="164"/>
      <c r="EW162" s="164"/>
      <c r="EX162" s="164"/>
      <c r="EY162" s="164"/>
      <c r="EZ162" s="164"/>
      <c r="FA162" s="164"/>
      <c r="FB162" s="164"/>
      <c r="FC162" s="164"/>
      <c r="FD162" s="164"/>
      <c r="FE162" s="164"/>
      <c r="FF162" s="164"/>
      <c r="FG162" s="164"/>
      <c r="FH162" s="164"/>
      <c r="FI162" s="164"/>
      <c r="FJ162" s="164"/>
      <c r="FK162" s="164"/>
      <c r="FL162" s="164"/>
      <c r="FM162" s="164"/>
      <c r="FN162" s="164"/>
      <c r="FO162" s="164"/>
    </row>
    <row r="163" spans="146:171" ht="12.75">
      <c r="EP163" s="164"/>
      <c r="EQ163" s="164"/>
      <c r="ER163" s="164"/>
      <c r="ES163" s="162"/>
      <c r="ET163" s="164"/>
      <c r="EU163" s="164"/>
      <c r="EV163" s="164"/>
      <c r="EW163" s="164"/>
      <c r="EX163" s="164"/>
      <c r="EY163" s="164"/>
      <c r="EZ163" s="164"/>
      <c r="FA163" s="164"/>
      <c r="FB163" s="164"/>
      <c r="FC163" s="164"/>
      <c r="FD163" s="164"/>
      <c r="FE163" s="164"/>
      <c r="FF163" s="164"/>
      <c r="FG163" s="164"/>
      <c r="FH163" s="164"/>
      <c r="FI163" s="164"/>
      <c r="FJ163" s="164"/>
      <c r="FK163" s="164"/>
      <c r="FL163" s="164"/>
      <c r="FM163" s="164"/>
      <c r="FN163" s="164"/>
      <c r="FO163" s="164"/>
    </row>
    <row r="164" spans="146:171" ht="12.75">
      <c r="EP164" s="164"/>
      <c r="EQ164" s="164"/>
      <c r="ER164" s="164"/>
      <c r="ES164" s="162"/>
      <c r="ET164" s="164"/>
      <c r="EU164" s="164"/>
      <c r="EV164" s="164"/>
      <c r="EW164" s="164"/>
      <c r="EX164" s="164"/>
      <c r="EY164" s="164"/>
      <c r="EZ164" s="164"/>
      <c r="FA164" s="164"/>
      <c r="FB164" s="164"/>
      <c r="FC164" s="164"/>
      <c r="FD164" s="164"/>
      <c r="FE164" s="164"/>
      <c r="FF164" s="164"/>
      <c r="FG164" s="164"/>
      <c r="FH164" s="164"/>
      <c r="FI164" s="164"/>
      <c r="FJ164" s="164"/>
      <c r="FK164" s="164"/>
      <c r="FL164" s="164"/>
      <c r="FM164" s="164"/>
      <c r="FN164" s="164"/>
      <c r="FO164" s="164"/>
    </row>
    <row r="165" spans="146:171" ht="12.75">
      <c r="EP165" s="164"/>
      <c r="EQ165" s="164"/>
      <c r="ER165" s="164"/>
      <c r="ES165" s="162"/>
      <c r="ET165" s="164"/>
      <c r="EU165" s="164"/>
      <c r="EV165" s="164"/>
      <c r="EW165" s="164"/>
      <c r="EX165" s="164"/>
      <c r="EY165" s="164"/>
      <c r="EZ165" s="164"/>
      <c r="FA165" s="164"/>
      <c r="FB165" s="164"/>
      <c r="FC165" s="164"/>
      <c r="FD165" s="164"/>
      <c r="FE165" s="164"/>
      <c r="FF165" s="164"/>
      <c r="FG165" s="164"/>
      <c r="FH165" s="164"/>
      <c r="FI165" s="164"/>
      <c r="FJ165" s="164"/>
      <c r="FK165" s="164"/>
      <c r="FL165" s="164"/>
      <c r="FM165" s="164"/>
      <c r="FN165" s="164"/>
      <c r="FO165" s="164"/>
    </row>
    <row r="166" spans="146:171" ht="12.75">
      <c r="EP166" s="164"/>
      <c r="EQ166" s="164"/>
      <c r="ER166" s="164"/>
      <c r="ES166" s="162"/>
      <c r="ET166" s="164"/>
      <c r="EU166" s="164"/>
      <c r="EV166" s="164"/>
      <c r="EW166" s="164"/>
      <c r="EX166" s="164"/>
      <c r="EY166" s="164"/>
      <c r="EZ166" s="164"/>
      <c r="FA166" s="164"/>
      <c r="FB166" s="164"/>
      <c r="FC166" s="164"/>
      <c r="FD166" s="164"/>
      <c r="FE166" s="164"/>
      <c r="FF166" s="164"/>
      <c r="FG166" s="164"/>
      <c r="FH166" s="164"/>
      <c r="FI166" s="164"/>
      <c r="FJ166" s="164"/>
      <c r="FK166" s="164"/>
      <c r="FL166" s="164"/>
      <c r="FM166" s="164"/>
      <c r="FN166" s="164"/>
      <c r="FO166" s="164"/>
    </row>
    <row r="167" spans="146:171" ht="12.75">
      <c r="EP167" s="164"/>
      <c r="EQ167" s="164"/>
      <c r="ER167" s="164"/>
      <c r="ES167" s="162"/>
      <c r="ET167" s="164"/>
      <c r="EU167" s="164"/>
      <c r="EV167" s="164"/>
      <c r="EW167" s="164"/>
      <c r="EX167" s="164"/>
      <c r="EY167" s="164"/>
      <c r="EZ167" s="164"/>
      <c r="FA167" s="164"/>
      <c r="FB167" s="164"/>
      <c r="FC167" s="164"/>
      <c r="FD167" s="164"/>
      <c r="FE167" s="164"/>
      <c r="FF167" s="164"/>
      <c r="FG167" s="164"/>
      <c r="FH167" s="164"/>
      <c r="FI167" s="164"/>
      <c r="FJ167" s="164"/>
      <c r="FK167" s="164"/>
      <c r="FL167" s="164"/>
      <c r="FM167" s="164"/>
      <c r="FN167" s="164"/>
      <c r="FO167" s="164"/>
    </row>
    <row r="168" spans="146:171" ht="12.75">
      <c r="EP168" s="164"/>
      <c r="EQ168" s="164"/>
      <c r="ER168" s="164"/>
      <c r="ES168" s="162"/>
      <c r="ET168" s="164"/>
      <c r="EU168" s="164"/>
      <c r="EV168" s="164"/>
      <c r="EW168" s="164"/>
      <c r="EX168" s="164"/>
      <c r="EY168" s="164"/>
      <c r="EZ168" s="164"/>
      <c r="FA168" s="164"/>
      <c r="FB168" s="164"/>
      <c r="FC168" s="164"/>
      <c r="FD168" s="164"/>
      <c r="FE168" s="164"/>
      <c r="FF168" s="164"/>
      <c r="FG168" s="164"/>
      <c r="FH168" s="164"/>
      <c r="FI168" s="164"/>
      <c r="FJ168" s="164"/>
      <c r="FK168" s="164"/>
      <c r="FL168" s="164"/>
      <c r="FM168" s="164"/>
      <c r="FN168" s="164"/>
      <c r="FO168" s="164"/>
    </row>
    <row r="169" spans="146:171" ht="12.75">
      <c r="EP169" s="164"/>
      <c r="EQ169" s="164"/>
      <c r="ER169" s="164"/>
      <c r="ES169" s="162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  <c r="FF169" s="164"/>
      <c r="FG169" s="164"/>
      <c r="FH169" s="164"/>
      <c r="FI169" s="164"/>
      <c r="FJ169" s="164"/>
      <c r="FK169" s="164"/>
      <c r="FL169" s="164"/>
      <c r="FM169" s="164"/>
      <c r="FN169" s="164"/>
      <c r="FO169" s="164"/>
    </row>
    <row r="170" spans="146:171" ht="12.75">
      <c r="EP170" s="164"/>
      <c r="EQ170" s="164"/>
      <c r="ER170" s="164"/>
      <c r="ES170" s="162"/>
      <c r="ET170" s="164"/>
      <c r="EU170" s="164"/>
      <c r="EV170" s="164"/>
      <c r="EW170" s="164"/>
      <c r="EX170" s="164"/>
      <c r="EY170" s="164"/>
      <c r="EZ170" s="164"/>
      <c r="FA170" s="164"/>
      <c r="FB170" s="164"/>
      <c r="FC170" s="164"/>
      <c r="FD170" s="164"/>
      <c r="FE170" s="164"/>
      <c r="FF170" s="164"/>
      <c r="FG170" s="164"/>
      <c r="FH170" s="164"/>
      <c r="FI170" s="164"/>
      <c r="FJ170" s="164"/>
      <c r="FK170" s="164"/>
      <c r="FL170" s="164"/>
      <c r="FM170" s="164"/>
      <c r="FN170" s="164"/>
      <c r="FO170" s="164"/>
    </row>
    <row r="171" spans="146:171" ht="12.75">
      <c r="EP171" s="164"/>
      <c r="EQ171" s="164"/>
      <c r="ER171" s="164"/>
      <c r="ES171" s="162"/>
      <c r="ET171" s="164"/>
      <c r="EU171" s="164"/>
      <c r="EV171" s="164"/>
      <c r="EW171" s="164"/>
      <c r="EX171" s="164"/>
      <c r="EY171" s="164"/>
      <c r="EZ171" s="164"/>
      <c r="FA171" s="164"/>
      <c r="FB171" s="164"/>
      <c r="FC171" s="164"/>
      <c r="FD171" s="164"/>
      <c r="FE171" s="164"/>
      <c r="FF171" s="164"/>
      <c r="FG171" s="164"/>
      <c r="FH171" s="164"/>
      <c r="FI171" s="164"/>
      <c r="FJ171" s="164"/>
      <c r="FK171" s="164"/>
      <c r="FL171" s="164"/>
      <c r="FM171" s="164"/>
      <c r="FN171" s="164"/>
      <c r="FO171" s="164"/>
    </row>
    <row r="172" spans="146:171" ht="12.75">
      <c r="EP172" s="164"/>
      <c r="EQ172" s="164"/>
      <c r="ER172" s="164"/>
      <c r="ES172" s="162"/>
      <c r="ET172" s="164"/>
      <c r="EU172" s="164"/>
      <c r="EV172" s="164"/>
      <c r="EW172" s="164"/>
      <c r="EX172" s="164"/>
      <c r="EY172" s="164"/>
      <c r="EZ172" s="164"/>
      <c r="FA172" s="164"/>
      <c r="FB172" s="164"/>
      <c r="FC172" s="164"/>
      <c r="FD172" s="164"/>
      <c r="FE172" s="164"/>
      <c r="FF172" s="164"/>
      <c r="FG172" s="164"/>
      <c r="FH172" s="164"/>
      <c r="FI172" s="164"/>
      <c r="FJ172" s="164"/>
      <c r="FK172" s="164"/>
      <c r="FL172" s="164"/>
      <c r="FM172" s="164"/>
      <c r="FN172" s="164"/>
      <c r="FO172" s="164"/>
    </row>
    <row r="173" spans="146:171" ht="12.75">
      <c r="EP173" s="164"/>
      <c r="EQ173" s="164"/>
      <c r="ER173" s="164"/>
      <c r="ES173" s="162"/>
      <c r="ET173" s="164"/>
      <c r="EU173" s="164"/>
      <c r="EV173" s="164"/>
      <c r="EW173" s="164"/>
      <c r="EX173" s="164"/>
      <c r="EY173" s="164"/>
      <c r="EZ173" s="164"/>
      <c r="FA173" s="164"/>
      <c r="FB173" s="164"/>
      <c r="FC173" s="164"/>
      <c r="FD173" s="164"/>
      <c r="FE173" s="164"/>
      <c r="FF173" s="164"/>
      <c r="FG173" s="164"/>
      <c r="FH173" s="164"/>
      <c r="FI173" s="164"/>
      <c r="FJ173" s="164"/>
      <c r="FK173" s="164"/>
      <c r="FL173" s="164"/>
      <c r="FM173" s="164"/>
      <c r="FN173" s="164"/>
      <c r="FO173" s="164"/>
    </row>
    <row r="174" spans="146:171" ht="12.75">
      <c r="EP174" s="164"/>
      <c r="EQ174" s="164"/>
      <c r="ER174" s="164"/>
      <c r="ES174" s="162"/>
      <c r="ET174" s="164"/>
      <c r="EU174" s="164"/>
      <c r="EV174" s="164"/>
      <c r="EW174" s="164"/>
      <c r="EX174" s="164"/>
      <c r="EY174" s="164"/>
      <c r="EZ174" s="164"/>
      <c r="FA174" s="164"/>
      <c r="FB174" s="164"/>
      <c r="FC174" s="164"/>
      <c r="FD174" s="164"/>
      <c r="FE174" s="164"/>
      <c r="FF174" s="164"/>
      <c r="FG174" s="164"/>
      <c r="FH174" s="164"/>
      <c r="FI174" s="164"/>
      <c r="FJ174" s="164"/>
      <c r="FK174" s="164"/>
      <c r="FL174" s="164"/>
      <c r="FM174" s="164"/>
      <c r="FN174" s="164"/>
      <c r="FO174" s="164"/>
    </row>
    <row r="175" spans="146:171" ht="12.75">
      <c r="EP175" s="164"/>
      <c r="EQ175" s="164"/>
      <c r="ER175" s="164"/>
      <c r="ES175" s="162"/>
      <c r="ET175" s="164"/>
      <c r="EU175" s="164"/>
      <c r="EV175" s="164"/>
      <c r="EW175" s="164"/>
      <c r="EX175" s="164"/>
      <c r="EY175" s="164"/>
      <c r="EZ175" s="164"/>
      <c r="FA175" s="164"/>
      <c r="FB175" s="164"/>
      <c r="FC175" s="164"/>
      <c r="FD175" s="164"/>
      <c r="FE175" s="164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</row>
    <row r="176" spans="146:171" ht="12.75">
      <c r="EP176" s="164"/>
      <c r="EQ176" s="164"/>
      <c r="ER176" s="164"/>
      <c r="ES176" s="162"/>
      <c r="ET176" s="164"/>
      <c r="EU176" s="164"/>
      <c r="EV176" s="164"/>
      <c r="EW176" s="164"/>
      <c r="EX176" s="164"/>
      <c r="EY176" s="164"/>
      <c r="EZ176" s="164"/>
      <c r="FA176" s="164"/>
      <c r="FB176" s="164"/>
      <c r="FC176" s="164"/>
      <c r="FD176" s="164"/>
      <c r="FE176" s="164"/>
      <c r="FF176" s="164"/>
      <c r="FG176" s="164"/>
      <c r="FH176" s="164"/>
      <c r="FI176" s="164"/>
      <c r="FJ176" s="164"/>
      <c r="FK176" s="164"/>
      <c r="FL176" s="164"/>
      <c r="FM176" s="164"/>
      <c r="FN176" s="164"/>
      <c r="FO176" s="164"/>
    </row>
    <row r="177" spans="146:171" ht="12.75">
      <c r="EP177" s="164"/>
      <c r="EQ177" s="164"/>
      <c r="ER177" s="164"/>
      <c r="ES177" s="162"/>
      <c r="ET177" s="164"/>
      <c r="EU177" s="164"/>
      <c r="EV177" s="164"/>
      <c r="EW177" s="164"/>
      <c r="EX177" s="164"/>
      <c r="EY177" s="164"/>
      <c r="EZ177" s="164"/>
      <c r="FA177" s="164"/>
      <c r="FB177" s="164"/>
      <c r="FC177" s="164"/>
      <c r="FD177" s="164"/>
      <c r="FE177" s="164"/>
      <c r="FF177" s="164"/>
      <c r="FG177" s="164"/>
      <c r="FH177" s="164"/>
      <c r="FI177" s="164"/>
      <c r="FJ177" s="164"/>
      <c r="FK177" s="164"/>
      <c r="FL177" s="164"/>
      <c r="FM177" s="164"/>
      <c r="FN177" s="164"/>
      <c r="FO177" s="164"/>
    </row>
    <row r="178" spans="146:171" ht="12.75">
      <c r="EP178" s="164"/>
      <c r="EQ178" s="164"/>
      <c r="ER178" s="164"/>
      <c r="ES178" s="162"/>
      <c r="ET178" s="164"/>
      <c r="EU178" s="164"/>
      <c r="EV178" s="164"/>
      <c r="EW178" s="164"/>
      <c r="EX178" s="164"/>
      <c r="EY178" s="164"/>
      <c r="EZ178" s="164"/>
      <c r="FA178" s="164"/>
      <c r="FB178" s="164"/>
      <c r="FC178" s="164"/>
      <c r="FD178" s="164"/>
      <c r="FE178" s="164"/>
      <c r="FF178" s="164"/>
      <c r="FG178" s="164"/>
      <c r="FH178" s="164"/>
      <c r="FI178" s="164"/>
      <c r="FJ178" s="164"/>
      <c r="FK178" s="164"/>
      <c r="FL178" s="164"/>
      <c r="FM178" s="164"/>
      <c r="FN178" s="164"/>
      <c r="FO178" s="164"/>
    </row>
    <row r="179" spans="146:171" ht="12.75">
      <c r="EP179" s="164"/>
      <c r="EQ179" s="164"/>
      <c r="ER179" s="164"/>
      <c r="ES179" s="162"/>
      <c r="ET179" s="164"/>
      <c r="EU179" s="164"/>
      <c r="EV179" s="164"/>
      <c r="EW179" s="164"/>
      <c r="EX179" s="164"/>
      <c r="EY179" s="164"/>
      <c r="EZ179" s="164"/>
      <c r="FA179" s="164"/>
      <c r="FB179" s="164"/>
      <c r="FC179" s="164"/>
      <c r="FD179" s="164"/>
      <c r="FE179" s="164"/>
      <c r="FF179" s="164"/>
      <c r="FG179" s="164"/>
      <c r="FH179" s="164"/>
      <c r="FI179" s="164"/>
      <c r="FJ179" s="164"/>
      <c r="FK179" s="164"/>
      <c r="FL179" s="164"/>
      <c r="FM179" s="164"/>
      <c r="FN179" s="164"/>
      <c r="FO179" s="164"/>
    </row>
    <row r="180" spans="146:171" ht="12.75">
      <c r="EP180" s="164"/>
      <c r="EQ180" s="164"/>
      <c r="ER180" s="164"/>
      <c r="ES180" s="162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  <c r="FH180" s="164"/>
      <c r="FI180" s="164"/>
      <c r="FJ180" s="164"/>
      <c r="FK180" s="164"/>
      <c r="FL180" s="164"/>
      <c r="FM180" s="164"/>
      <c r="FN180" s="164"/>
      <c r="FO180" s="164"/>
    </row>
    <row r="181" spans="146:171" ht="12.75">
      <c r="EP181" s="164"/>
      <c r="EQ181" s="164"/>
      <c r="ER181" s="164"/>
      <c r="ES181" s="162"/>
      <c r="ET181" s="164"/>
      <c r="EU181" s="164"/>
      <c r="EV181" s="164"/>
      <c r="EW181" s="164"/>
      <c r="EX181" s="164"/>
      <c r="EY181" s="164"/>
      <c r="EZ181" s="164"/>
      <c r="FA181" s="164"/>
      <c r="FB181" s="164"/>
      <c r="FC181" s="164"/>
      <c r="FD181" s="164"/>
      <c r="FE181" s="164"/>
      <c r="FF181" s="164"/>
      <c r="FG181" s="164"/>
      <c r="FH181" s="164"/>
      <c r="FI181" s="164"/>
      <c r="FJ181" s="164"/>
      <c r="FK181" s="164"/>
      <c r="FL181" s="164"/>
      <c r="FM181" s="164"/>
      <c r="FN181" s="164"/>
      <c r="FO181" s="164"/>
    </row>
    <row r="182" spans="146:171" ht="12.75">
      <c r="EP182" s="164"/>
      <c r="EQ182" s="164"/>
      <c r="ER182" s="164"/>
      <c r="ES182" s="162"/>
      <c r="ET182" s="164"/>
      <c r="EU182" s="164"/>
      <c r="EV182" s="164"/>
      <c r="EW182" s="164"/>
      <c r="EX182" s="164"/>
      <c r="EY182" s="164"/>
      <c r="EZ182" s="164"/>
      <c r="FA182" s="164"/>
      <c r="FB182" s="164"/>
      <c r="FC182" s="164"/>
      <c r="FD182" s="164"/>
      <c r="FE182" s="164"/>
      <c r="FF182" s="164"/>
      <c r="FG182" s="164"/>
      <c r="FH182" s="164"/>
      <c r="FI182" s="164"/>
      <c r="FJ182" s="164"/>
      <c r="FK182" s="164"/>
      <c r="FL182" s="164"/>
      <c r="FM182" s="164"/>
      <c r="FN182" s="164"/>
      <c r="FO182" s="164"/>
    </row>
    <row r="183" spans="146:171" ht="12.75">
      <c r="EP183" s="164"/>
      <c r="EQ183" s="164"/>
      <c r="ER183" s="164"/>
      <c r="ES183" s="162"/>
      <c r="ET183" s="164"/>
      <c r="EU183" s="164"/>
      <c r="EV183" s="164"/>
      <c r="EW183" s="164"/>
      <c r="EX183" s="164"/>
      <c r="EY183" s="164"/>
      <c r="EZ183" s="164"/>
      <c r="FA183" s="164"/>
      <c r="FB183" s="164"/>
      <c r="FC183" s="164"/>
      <c r="FD183" s="164"/>
      <c r="FE183" s="164"/>
      <c r="FF183" s="164"/>
      <c r="FG183" s="164"/>
      <c r="FH183" s="164"/>
      <c r="FI183" s="164"/>
      <c r="FJ183" s="164"/>
      <c r="FK183" s="164"/>
      <c r="FL183" s="164"/>
      <c r="FM183" s="164"/>
      <c r="FN183" s="164"/>
      <c r="FO183" s="164"/>
    </row>
    <row r="184" spans="146:171" ht="12.75">
      <c r="EP184" s="164"/>
      <c r="EQ184" s="164"/>
      <c r="ER184" s="164"/>
      <c r="ES184" s="162"/>
      <c r="ET184" s="164"/>
      <c r="EU184" s="164"/>
      <c r="EV184" s="164"/>
      <c r="EW184" s="164"/>
      <c r="EX184" s="164"/>
      <c r="EY184" s="164"/>
      <c r="EZ184" s="164"/>
      <c r="FA184" s="164"/>
      <c r="FB184" s="164"/>
      <c r="FC184" s="164"/>
      <c r="FD184" s="164"/>
      <c r="FE184" s="164"/>
      <c r="FF184" s="164"/>
      <c r="FG184" s="164"/>
      <c r="FH184" s="164"/>
      <c r="FI184" s="164"/>
      <c r="FJ184" s="164"/>
      <c r="FK184" s="164"/>
      <c r="FL184" s="164"/>
      <c r="FM184" s="164"/>
      <c r="FN184" s="164"/>
      <c r="FO184" s="164"/>
    </row>
    <row r="185" spans="146:171" ht="12.75">
      <c r="EP185" s="164"/>
      <c r="EQ185" s="164"/>
      <c r="ER185" s="164"/>
      <c r="ES185" s="162"/>
      <c r="ET185" s="164"/>
      <c r="EU185" s="164"/>
      <c r="EV185" s="164"/>
      <c r="EW185" s="164"/>
      <c r="EX185" s="164"/>
      <c r="EY185" s="164"/>
      <c r="EZ185" s="164"/>
      <c r="FA185" s="164"/>
      <c r="FB185" s="164"/>
      <c r="FC185" s="164"/>
      <c r="FD185" s="164"/>
      <c r="FE185" s="164"/>
      <c r="FF185" s="164"/>
      <c r="FG185" s="164"/>
      <c r="FH185" s="164"/>
      <c r="FI185" s="164"/>
      <c r="FJ185" s="164"/>
      <c r="FK185" s="164"/>
      <c r="FL185" s="164"/>
      <c r="FM185" s="164"/>
      <c r="FN185" s="164"/>
      <c r="FO185" s="164"/>
    </row>
    <row r="186" spans="146:171" ht="12.75">
      <c r="EP186" s="164"/>
      <c r="EQ186" s="164"/>
      <c r="ER186" s="164"/>
      <c r="ES186" s="162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  <c r="FH186" s="164"/>
      <c r="FI186" s="164"/>
      <c r="FJ186" s="164"/>
      <c r="FK186" s="164"/>
      <c r="FL186" s="164"/>
      <c r="FM186" s="164"/>
      <c r="FN186" s="164"/>
      <c r="FO186" s="164"/>
    </row>
    <row r="187" spans="146:171" ht="12.75">
      <c r="EP187" s="164"/>
      <c r="EQ187" s="164"/>
      <c r="ER187" s="164"/>
      <c r="ES187" s="162"/>
      <c r="ET187" s="164"/>
      <c r="EU187" s="164"/>
      <c r="EV187" s="164"/>
      <c r="EW187" s="164"/>
      <c r="EX187" s="164"/>
      <c r="EY187" s="164"/>
      <c r="EZ187" s="164"/>
      <c r="FA187" s="164"/>
      <c r="FB187" s="164"/>
      <c r="FC187" s="164"/>
      <c r="FD187" s="164"/>
      <c r="FE187" s="164"/>
      <c r="FF187" s="164"/>
      <c r="FG187" s="164"/>
      <c r="FH187" s="164"/>
      <c r="FI187" s="164"/>
      <c r="FJ187" s="164"/>
      <c r="FK187" s="164"/>
      <c r="FL187" s="164"/>
      <c r="FM187" s="164"/>
      <c r="FN187" s="164"/>
      <c r="FO187" s="164"/>
    </row>
    <row r="188" spans="146:171" ht="12.75">
      <c r="EP188" s="164"/>
      <c r="EQ188" s="164"/>
      <c r="ER188" s="164"/>
      <c r="ES188" s="162"/>
      <c r="ET188" s="164"/>
      <c r="EU188" s="164"/>
      <c r="EV188" s="164"/>
      <c r="EW188" s="164"/>
      <c r="EX188" s="164"/>
      <c r="EY188" s="164"/>
      <c r="EZ188" s="164"/>
      <c r="FA188" s="164"/>
      <c r="FB188" s="164"/>
      <c r="FC188" s="164"/>
      <c r="FD188" s="164"/>
      <c r="FE188" s="164"/>
      <c r="FF188" s="164"/>
      <c r="FG188" s="164"/>
      <c r="FH188" s="164"/>
      <c r="FI188" s="164"/>
      <c r="FJ188" s="164"/>
      <c r="FK188" s="164"/>
      <c r="FL188" s="164"/>
      <c r="FM188" s="164"/>
      <c r="FN188" s="164"/>
      <c r="FO188" s="164"/>
    </row>
    <row r="189" spans="146:171" ht="12.75">
      <c r="EP189" s="164"/>
      <c r="EQ189" s="164"/>
      <c r="ER189" s="164"/>
      <c r="ES189" s="162"/>
      <c r="ET189" s="164"/>
      <c r="EU189" s="164"/>
      <c r="EV189" s="164"/>
      <c r="EW189" s="164"/>
      <c r="EX189" s="164"/>
      <c r="EY189" s="164"/>
      <c r="EZ189" s="164"/>
      <c r="FA189" s="164"/>
      <c r="FB189" s="164"/>
      <c r="FC189" s="164"/>
      <c r="FD189" s="164"/>
      <c r="FE189" s="164"/>
      <c r="FF189" s="164"/>
      <c r="FG189" s="164"/>
      <c r="FH189" s="164"/>
      <c r="FI189" s="164"/>
      <c r="FJ189" s="164"/>
      <c r="FK189" s="164"/>
      <c r="FL189" s="164"/>
      <c r="FM189" s="164"/>
      <c r="FN189" s="164"/>
      <c r="FO189" s="164"/>
    </row>
    <row r="190" spans="146:171" ht="12.75">
      <c r="EP190" s="164"/>
      <c r="EQ190" s="164"/>
      <c r="ER190" s="164"/>
      <c r="ES190" s="162"/>
      <c r="ET190" s="164"/>
      <c r="EU190" s="164"/>
      <c r="EV190" s="164"/>
      <c r="EW190" s="164"/>
      <c r="EX190" s="164"/>
      <c r="EY190" s="164"/>
      <c r="EZ190" s="164"/>
      <c r="FA190" s="164"/>
      <c r="FB190" s="164"/>
      <c r="FC190" s="164"/>
      <c r="FD190" s="164"/>
      <c r="FE190" s="164"/>
      <c r="FF190" s="164"/>
      <c r="FG190" s="164"/>
      <c r="FH190" s="164"/>
      <c r="FI190" s="164"/>
      <c r="FJ190" s="164"/>
      <c r="FK190" s="164"/>
      <c r="FL190" s="164"/>
      <c r="FM190" s="164"/>
      <c r="FN190" s="164"/>
      <c r="FO190" s="164"/>
    </row>
    <row r="191" spans="146:171" ht="12.75">
      <c r="EP191" s="164"/>
      <c r="EQ191" s="164"/>
      <c r="ER191" s="164"/>
      <c r="ES191" s="162"/>
      <c r="ET191" s="164"/>
      <c r="EU191" s="164"/>
      <c r="EV191" s="164"/>
      <c r="EW191" s="164"/>
      <c r="EX191" s="164"/>
      <c r="EY191" s="164"/>
      <c r="EZ191" s="164"/>
      <c r="FA191" s="164"/>
      <c r="FB191" s="164"/>
      <c r="FC191" s="164"/>
      <c r="FD191" s="164"/>
      <c r="FE191" s="164"/>
      <c r="FF191" s="164"/>
      <c r="FG191" s="164"/>
      <c r="FH191" s="164"/>
      <c r="FI191" s="164"/>
      <c r="FJ191" s="164"/>
      <c r="FK191" s="164"/>
      <c r="FL191" s="164"/>
      <c r="FM191" s="164"/>
      <c r="FN191" s="164"/>
      <c r="FO191" s="164"/>
    </row>
    <row r="192" spans="146:171" ht="12.75">
      <c r="EP192" s="164"/>
      <c r="EQ192" s="164"/>
      <c r="ER192" s="164"/>
      <c r="ES192" s="162"/>
      <c r="ET192" s="164"/>
      <c r="EU192" s="164"/>
      <c r="EV192" s="164"/>
      <c r="EW192" s="164"/>
      <c r="EX192" s="164"/>
      <c r="EY192" s="164"/>
      <c r="EZ192" s="164"/>
      <c r="FA192" s="164"/>
      <c r="FB192" s="164"/>
      <c r="FC192" s="164"/>
      <c r="FD192" s="164"/>
      <c r="FE192" s="164"/>
      <c r="FF192" s="164"/>
      <c r="FG192" s="164"/>
      <c r="FH192" s="164"/>
      <c r="FI192" s="164"/>
      <c r="FJ192" s="164"/>
      <c r="FK192" s="164"/>
      <c r="FL192" s="164"/>
      <c r="FM192" s="164"/>
      <c r="FN192" s="164"/>
      <c r="FO192" s="164"/>
    </row>
    <row r="193" spans="146:171" ht="12.75">
      <c r="EP193" s="164"/>
      <c r="EQ193" s="164"/>
      <c r="ER193" s="164"/>
      <c r="ES193" s="162"/>
      <c r="ET193" s="164"/>
      <c r="EU193" s="164"/>
      <c r="EV193" s="164"/>
      <c r="EW193" s="164"/>
      <c r="EX193" s="164"/>
      <c r="EY193" s="164"/>
      <c r="EZ193" s="164"/>
      <c r="FA193" s="164"/>
      <c r="FB193" s="164"/>
      <c r="FC193" s="164"/>
      <c r="FD193" s="164"/>
      <c r="FE193" s="164"/>
      <c r="FF193" s="164"/>
      <c r="FG193" s="164"/>
      <c r="FH193" s="164"/>
      <c r="FI193" s="164"/>
      <c r="FJ193" s="164"/>
      <c r="FK193" s="164"/>
      <c r="FL193" s="164"/>
      <c r="FM193" s="164"/>
      <c r="FN193" s="164"/>
      <c r="FO193" s="164"/>
    </row>
    <row r="194" spans="146:171" ht="12.75">
      <c r="EP194" s="164"/>
      <c r="EQ194" s="164"/>
      <c r="ER194" s="164"/>
      <c r="ES194" s="162"/>
      <c r="ET194" s="164"/>
      <c r="EU194" s="164"/>
      <c r="EV194" s="164"/>
      <c r="EW194" s="164"/>
      <c r="EX194" s="164"/>
      <c r="EY194" s="164"/>
      <c r="EZ194" s="164"/>
      <c r="FA194" s="164"/>
      <c r="FB194" s="164"/>
      <c r="FC194" s="164"/>
      <c r="FD194" s="164"/>
      <c r="FE194" s="164"/>
      <c r="FF194" s="164"/>
      <c r="FG194" s="164"/>
      <c r="FH194" s="164"/>
      <c r="FI194" s="164"/>
      <c r="FJ194" s="164"/>
      <c r="FK194" s="164"/>
      <c r="FL194" s="164"/>
      <c r="FM194" s="164"/>
      <c r="FN194" s="164"/>
      <c r="FO194" s="164"/>
    </row>
    <row r="195" spans="146:171" ht="12.75">
      <c r="EP195" s="164"/>
      <c r="EQ195" s="164"/>
      <c r="ER195" s="164"/>
      <c r="ES195" s="162"/>
      <c r="ET195" s="164"/>
      <c r="EU195" s="164"/>
      <c r="EV195" s="164"/>
      <c r="EW195" s="164"/>
      <c r="EX195" s="164"/>
      <c r="EY195" s="164"/>
      <c r="EZ195" s="164"/>
      <c r="FA195" s="164"/>
      <c r="FB195" s="164"/>
      <c r="FC195" s="164"/>
      <c r="FD195" s="164"/>
      <c r="FE195" s="164"/>
      <c r="FF195" s="164"/>
      <c r="FG195" s="164"/>
      <c r="FH195" s="164"/>
      <c r="FI195" s="164"/>
      <c r="FJ195" s="164"/>
      <c r="FK195" s="164"/>
      <c r="FL195" s="164"/>
      <c r="FM195" s="164"/>
      <c r="FN195" s="164"/>
      <c r="FO195" s="164"/>
    </row>
    <row r="196" spans="146:171" ht="12.75">
      <c r="EP196" s="164"/>
      <c r="EQ196" s="164"/>
      <c r="ER196" s="164"/>
      <c r="ES196" s="162"/>
      <c r="ET196" s="164"/>
      <c r="EU196" s="164"/>
      <c r="EV196" s="164"/>
      <c r="EW196" s="164"/>
      <c r="EX196" s="164"/>
      <c r="EY196" s="164"/>
      <c r="EZ196" s="164"/>
      <c r="FA196" s="164"/>
      <c r="FB196" s="164"/>
      <c r="FC196" s="164"/>
      <c r="FD196" s="164"/>
      <c r="FE196" s="164"/>
      <c r="FF196" s="164"/>
      <c r="FG196" s="164"/>
      <c r="FH196" s="164"/>
      <c r="FI196" s="164"/>
      <c r="FJ196" s="164"/>
      <c r="FK196" s="164"/>
      <c r="FL196" s="164"/>
      <c r="FM196" s="164"/>
      <c r="FN196" s="164"/>
      <c r="FO196" s="164"/>
    </row>
    <row r="197" spans="146:171" ht="12.75">
      <c r="EP197" s="164"/>
      <c r="EQ197" s="164"/>
      <c r="ER197" s="164"/>
      <c r="ES197" s="162"/>
      <c r="ET197" s="164"/>
      <c r="EU197" s="164"/>
      <c r="EV197" s="164"/>
      <c r="EW197" s="164"/>
      <c r="EX197" s="164"/>
      <c r="EY197" s="164"/>
      <c r="EZ197" s="164"/>
      <c r="FA197" s="164"/>
      <c r="FB197" s="164"/>
      <c r="FC197" s="164"/>
      <c r="FD197" s="164"/>
      <c r="FE197" s="164"/>
      <c r="FF197" s="164"/>
      <c r="FG197" s="164"/>
      <c r="FH197" s="164"/>
      <c r="FI197" s="164"/>
      <c r="FJ197" s="164"/>
      <c r="FK197" s="164"/>
      <c r="FL197" s="164"/>
      <c r="FM197" s="164"/>
      <c r="FN197" s="164"/>
      <c r="FO197" s="164"/>
    </row>
    <row r="198" spans="146:171" ht="12.75">
      <c r="EP198" s="164"/>
      <c r="EQ198" s="164"/>
      <c r="ER198" s="164"/>
      <c r="ES198" s="162"/>
      <c r="ET198" s="164"/>
      <c r="EU198" s="164"/>
      <c r="EV198" s="164"/>
      <c r="EW198" s="164"/>
      <c r="EX198" s="164"/>
      <c r="EY198" s="164"/>
      <c r="EZ198" s="164"/>
      <c r="FA198" s="164"/>
      <c r="FB198" s="164"/>
      <c r="FC198" s="164"/>
      <c r="FD198" s="164"/>
      <c r="FE198" s="164"/>
      <c r="FF198" s="164"/>
      <c r="FG198" s="164"/>
      <c r="FH198" s="164"/>
      <c r="FI198" s="164"/>
      <c r="FJ198" s="164"/>
      <c r="FK198" s="164"/>
      <c r="FL198" s="164"/>
      <c r="FM198" s="164"/>
      <c r="FN198" s="164"/>
      <c r="FO198" s="164"/>
    </row>
    <row r="199" spans="146:171" ht="12.75">
      <c r="EP199" s="164"/>
      <c r="EQ199" s="164"/>
      <c r="ER199" s="164"/>
      <c r="ES199" s="162"/>
      <c r="ET199" s="164"/>
      <c r="EU199" s="164"/>
      <c r="EV199" s="164"/>
      <c r="EW199" s="164"/>
      <c r="EX199" s="164"/>
      <c r="EY199" s="164"/>
      <c r="EZ199" s="164"/>
      <c r="FA199" s="164"/>
      <c r="FB199" s="164"/>
      <c r="FC199" s="164"/>
      <c r="FD199" s="164"/>
      <c r="FE199" s="164"/>
      <c r="FF199" s="164"/>
      <c r="FG199" s="164"/>
      <c r="FH199" s="164"/>
      <c r="FI199" s="164"/>
      <c r="FJ199" s="164"/>
      <c r="FK199" s="164"/>
      <c r="FL199" s="164"/>
      <c r="FM199" s="164"/>
      <c r="FN199" s="164"/>
      <c r="FO199" s="164"/>
    </row>
    <row r="200" spans="146:171" ht="12.75">
      <c r="EP200" s="164"/>
      <c r="EQ200" s="164"/>
      <c r="ER200" s="164"/>
      <c r="ES200" s="162"/>
      <c r="ET200" s="164"/>
      <c r="EU200" s="164"/>
      <c r="EV200" s="164"/>
      <c r="EW200" s="164"/>
      <c r="EX200" s="164"/>
      <c r="EY200" s="164"/>
      <c r="EZ200" s="164"/>
      <c r="FA200" s="164"/>
      <c r="FB200" s="164"/>
      <c r="FC200" s="164"/>
      <c r="FD200" s="164"/>
      <c r="FE200" s="164"/>
      <c r="FF200" s="164"/>
      <c r="FG200" s="164"/>
      <c r="FH200" s="164"/>
      <c r="FI200" s="164"/>
      <c r="FJ200" s="164"/>
      <c r="FK200" s="164"/>
      <c r="FL200" s="164"/>
      <c r="FM200" s="164"/>
      <c r="FN200" s="164"/>
      <c r="FO200" s="164"/>
    </row>
    <row r="201" spans="146:171" ht="12.75">
      <c r="EP201" s="164"/>
      <c r="EQ201" s="164"/>
      <c r="ER201" s="164"/>
      <c r="ES201" s="162"/>
      <c r="ET201" s="164"/>
      <c r="EU201" s="164"/>
      <c r="EV201" s="164"/>
      <c r="EW201" s="164"/>
      <c r="EX201" s="164"/>
      <c r="EY201" s="164"/>
      <c r="EZ201" s="164"/>
      <c r="FA201" s="164"/>
      <c r="FB201" s="164"/>
      <c r="FC201" s="164"/>
      <c r="FD201" s="164"/>
      <c r="FE201" s="164"/>
      <c r="FF201" s="164"/>
      <c r="FG201" s="164"/>
      <c r="FH201" s="164"/>
      <c r="FI201" s="164"/>
      <c r="FJ201" s="164"/>
      <c r="FK201" s="164"/>
      <c r="FL201" s="164"/>
      <c r="FM201" s="164"/>
      <c r="FN201" s="164"/>
      <c r="FO201" s="164"/>
    </row>
    <row r="202" spans="146:171" ht="12.75">
      <c r="EP202" s="164"/>
      <c r="EQ202" s="164"/>
      <c r="ER202" s="164"/>
      <c r="ES202" s="162"/>
      <c r="ET202" s="164"/>
      <c r="EU202" s="164"/>
      <c r="EV202" s="164"/>
      <c r="EW202" s="164"/>
      <c r="EX202" s="164"/>
      <c r="EY202" s="164"/>
      <c r="EZ202" s="164"/>
      <c r="FA202" s="164"/>
      <c r="FB202" s="164"/>
      <c r="FC202" s="164"/>
      <c r="FD202" s="164"/>
      <c r="FE202" s="164"/>
      <c r="FF202" s="164"/>
      <c r="FG202" s="164"/>
      <c r="FH202" s="164"/>
      <c r="FI202" s="164"/>
      <c r="FJ202" s="164"/>
      <c r="FK202" s="164"/>
      <c r="FL202" s="164"/>
      <c r="FM202" s="164"/>
      <c r="FN202" s="164"/>
      <c r="FO202" s="164"/>
    </row>
    <row r="203" spans="146:171" ht="12.75">
      <c r="EP203" s="164"/>
      <c r="EQ203" s="164"/>
      <c r="ER203" s="164"/>
      <c r="ES203" s="162"/>
      <c r="ET203" s="164"/>
      <c r="EU203" s="164"/>
      <c r="EV203" s="164"/>
      <c r="EW203" s="164"/>
      <c r="EX203" s="164"/>
      <c r="EY203" s="164"/>
      <c r="EZ203" s="164"/>
      <c r="FA203" s="164"/>
      <c r="FB203" s="164"/>
      <c r="FC203" s="164"/>
      <c r="FD203" s="164"/>
      <c r="FE203" s="164"/>
      <c r="FF203" s="164"/>
      <c r="FG203" s="164"/>
      <c r="FH203" s="164"/>
      <c r="FI203" s="164"/>
      <c r="FJ203" s="164"/>
      <c r="FK203" s="164"/>
      <c r="FL203" s="164"/>
      <c r="FM203" s="164"/>
      <c r="FN203" s="164"/>
      <c r="FO203" s="164"/>
    </row>
    <row r="204" spans="146:171" ht="12.75">
      <c r="EP204" s="164"/>
      <c r="EQ204" s="164"/>
      <c r="ER204" s="164"/>
      <c r="ES204" s="162"/>
      <c r="ET204" s="164"/>
      <c r="EU204" s="164"/>
      <c r="EV204" s="164"/>
      <c r="EW204" s="164"/>
      <c r="EX204" s="164"/>
      <c r="EY204" s="164"/>
      <c r="EZ204" s="164"/>
      <c r="FA204" s="164"/>
      <c r="FB204" s="164"/>
      <c r="FC204" s="164"/>
      <c r="FD204" s="164"/>
      <c r="FE204" s="164"/>
      <c r="FF204" s="164"/>
      <c r="FG204" s="164"/>
      <c r="FH204" s="164"/>
      <c r="FI204" s="164"/>
      <c r="FJ204" s="164"/>
      <c r="FK204" s="164"/>
      <c r="FL204" s="164"/>
      <c r="FM204" s="164"/>
      <c r="FN204" s="164"/>
      <c r="FO204" s="164"/>
    </row>
    <row r="205" spans="146:171" ht="12.75">
      <c r="EP205" s="164"/>
      <c r="EQ205" s="164"/>
      <c r="ER205" s="164"/>
      <c r="ES205" s="162"/>
      <c r="ET205" s="164"/>
      <c r="EU205" s="164"/>
      <c r="EV205" s="164"/>
      <c r="EW205" s="164"/>
      <c r="EX205" s="164"/>
      <c r="EY205" s="164"/>
      <c r="EZ205" s="164"/>
      <c r="FA205" s="164"/>
      <c r="FB205" s="164"/>
      <c r="FC205" s="164"/>
      <c r="FD205" s="164"/>
      <c r="FE205" s="164"/>
      <c r="FF205" s="164"/>
      <c r="FG205" s="164"/>
      <c r="FH205" s="164"/>
      <c r="FI205" s="164"/>
      <c r="FJ205" s="164"/>
      <c r="FK205" s="164"/>
      <c r="FL205" s="164"/>
      <c r="FM205" s="164"/>
      <c r="FN205" s="164"/>
      <c r="FO205" s="164"/>
    </row>
    <row r="206" spans="146:171" ht="12.75">
      <c r="EP206" s="164"/>
      <c r="EQ206" s="164"/>
      <c r="ER206" s="164"/>
      <c r="ES206" s="162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  <c r="FH206" s="164"/>
      <c r="FI206" s="164"/>
      <c r="FJ206" s="164"/>
      <c r="FK206" s="164"/>
      <c r="FL206" s="164"/>
      <c r="FM206" s="164"/>
      <c r="FN206" s="164"/>
      <c r="FO206" s="164"/>
    </row>
    <row r="207" spans="146:171" ht="12.75">
      <c r="EP207" s="164"/>
      <c r="EQ207" s="164"/>
      <c r="ER207" s="164"/>
      <c r="ES207" s="162"/>
      <c r="ET207" s="164"/>
      <c r="EU207" s="164"/>
      <c r="EV207" s="164"/>
      <c r="EW207" s="164"/>
      <c r="EX207" s="164"/>
      <c r="EY207" s="164"/>
      <c r="EZ207" s="164"/>
      <c r="FA207" s="164"/>
      <c r="FB207" s="164"/>
      <c r="FC207" s="164"/>
      <c r="FD207" s="164"/>
      <c r="FE207" s="164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</row>
    <row r="208" spans="146:171" ht="12.75">
      <c r="EP208" s="164"/>
      <c r="EQ208" s="164"/>
      <c r="ER208" s="164"/>
      <c r="ES208" s="162"/>
      <c r="ET208" s="164"/>
      <c r="EU208" s="164"/>
      <c r="EV208" s="164"/>
      <c r="EW208" s="164"/>
      <c r="EX208" s="164"/>
      <c r="EY208" s="164"/>
      <c r="EZ208" s="164"/>
      <c r="FA208" s="164"/>
      <c r="FB208" s="164"/>
      <c r="FC208" s="164"/>
      <c r="FD208" s="164"/>
      <c r="FE208" s="164"/>
      <c r="FF208" s="164"/>
      <c r="FG208" s="164"/>
      <c r="FH208" s="164"/>
      <c r="FI208" s="164"/>
      <c r="FJ208" s="164"/>
      <c r="FK208" s="164"/>
      <c r="FL208" s="164"/>
      <c r="FM208" s="164"/>
      <c r="FN208" s="164"/>
      <c r="FO208" s="164"/>
    </row>
    <row r="209" spans="146:171" ht="12.75">
      <c r="EP209" s="164"/>
      <c r="EQ209" s="164"/>
      <c r="ER209" s="164"/>
      <c r="ES209" s="162"/>
      <c r="ET209" s="164"/>
      <c r="EU209" s="164"/>
      <c r="EV209" s="164"/>
      <c r="EW209" s="164"/>
      <c r="EX209" s="164"/>
      <c r="EY209" s="164"/>
      <c r="EZ209" s="164"/>
      <c r="FA209" s="164"/>
      <c r="FB209" s="164"/>
      <c r="FC209" s="164"/>
      <c r="FD209" s="164"/>
      <c r="FE209" s="164"/>
      <c r="FF209" s="164"/>
      <c r="FG209" s="164"/>
      <c r="FH209" s="164"/>
      <c r="FI209" s="164"/>
      <c r="FJ209" s="164"/>
      <c r="FK209" s="164"/>
      <c r="FL209" s="164"/>
      <c r="FM209" s="164"/>
      <c r="FN209" s="164"/>
      <c r="FO209" s="164"/>
    </row>
    <row r="210" spans="146:171" ht="12.75">
      <c r="EP210" s="164"/>
      <c r="EQ210" s="164"/>
      <c r="ER210" s="164"/>
      <c r="ES210" s="162"/>
      <c r="ET210" s="164"/>
      <c r="EU210" s="164"/>
      <c r="EV210" s="164"/>
      <c r="EW210" s="164"/>
      <c r="EX210" s="164"/>
      <c r="EY210" s="164"/>
      <c r="EZ210" s="164"/>
      <c r="FA210" s="164"/>
      <c r="FB210" s="164"/>
      <c r="FC210" s="164"/>
      <c r="FD210" s="164"/>
      <c r="FE210" s="164"/>
      <c r="FF210" s="164"/>
      <c r="FG210" s="164"/>
      <c r="FH210" s="164"/>
      <c r="FI210" s="164"/>
      <c r="FJ210" s="164"/>
      <c r="FK210" s="164"/>
      <c r="FL210" s="164"/>
      <c r="FM210" s="164"/>
      <c r="FN210" s="164"/>
      <c r="FO210" s="164"/>
    </row>
    <row r="211" spans="146:171" ht="12.75">
      <c r="EP211" s="164"/>
      <c r="EQ211" s="164"/>
      <c r="ER211" s="164"/>
      <c r="ES211" s="162"/>
      <c r="ET211" s="164"/>
      <c r="EU211" s="164"/>
      <c r="EV211" s="164"/>
      <c r="EW211" s="164"/>
      <c r="EX211" s="164"/>
      <c r="EY211" s="164"/>
      <c r="EZ211" s="164"/>
      <c r="FA211" s="164"/>
      <c r="FB211" s="164"/>
      <c r="FC211" s="164"/>
      <c r="FD211" s="164"/>
      <c r="FE211" s="164"/>
      <c r="FF211" s="164"/>
      <c r="FG211" s="164"/>
      <c r="FH211" s="164"/>
      <c r="FI211" s="164"/>
      <c r="FJ211" s="164"/>
      <c r="FK211" s="164"/>
      <c r="FL211" s="164"/>
      <c r="FM211" s="164"/>
      <c r="FN211" s="164"/>
      <c r="FO211" s="164"/>
    </row>
    <row r="212" spans="146:171" ht="12.75">
      <c r="EP212" s="164"/>
      <c r="EQ212" s="164"/>
      <c r="ER212" s="164"/>
      <c r="ES212" s="162"/>
      <c r="ET212" s="164"/>
      <c r="EU212" s="164"/>
      <c r="EV212" s="164"/>
      <c r="EW212" s="164"/>
      <c r="EX212" s="164"/>
      <c r="EY212" s="164"/>
      <c r="EZ212" s="164"/>
      <c r="FA212" s="164"/>
      <c r="FB212" s="164"/>
      <c r="FC212" s="164"/>
      <c r="FD212" s="164"/>
      <c r="FE212" s="164"/>
      <c r="FF212" s="164"/>
      <c r="FG212" s="164"/>
      <c r="FH212" s="164"/>
      <c r="FI212" s="164"/>
      <c r="FJ212" s="164"/>
      <c r="FK212" s="164"/>
      <c r="FL212" s="164"/>
      <c r="FM212" s="164"/>
      <c r="FN212" s="164"/>
      <c r="FO212" s="164"/>
    </row>
    <row r="213" spans="146:171" ht="12.75">
      <c r="EP213" s="164"/>
      <c r="EQ213" s="164"/>
      <c r="ER213" s="164"/>
      <c r="ES213" s="162"/>
      <c r="ET213" s="164"/>
      <c r="EU213" s="164"/>
      <c r="EV213" s="164"/>
      <c r="EW213" s="164"/>
      <c r="EX213" s="164"/>
      <c r="EY213" s="164"/>
      <c r="EZ213" s="164"/>
      <c r="FA213" s="164"/>
      <c r="FB213" s="164"/>
      <c r="FC213" s="164"/>
      <c r="FD213" s="164"/>
      <c r="FE213" s="164"/>
      <c r="FF213" s="164"/>
      <c r="FG213" s="164"/>
      <c r="FH213" s="164"/>
      <c r="FI213" s="164"/>
      <c r="FJ213" s="164"/>
      <c r="FK213" s="164"/>
      <c r="FL213" s="164"/>
      <c r="FM213" s="164"/>
      <c r="FN213" s="164"/>
      <c r="FO213" s="164"/>
    </row>
    <row r="214" spans="146:171" ht="12.75">
      <c r="EP214" s="164"/>
      <c r="EQ214" s="164"/>
      <c r="ER214" s="164"/>
      <c r="ES214" s="162"/>
      <c r="ET214" s="164"/>
      <c r="EU214" s="164"/>
      <c r="EV214" s="164"/>
      <c r="EW214" s="164"/>
      <c r="EX214" s="164"/>
      <c r="EY214" s="164"/>
      <c r="EZ214" s="164"/>
      <c r="FA214" s="164"/>
      <c r="FB214" s="164"/>
      <c r="FC214" s="164"/>
      <c r="FD214" s="164"/>
      <c r="FE214" s="164"/>
      <c r="FF214" s="164"/>
      <c r="FG214" s="164"/>
      <c r="FH214" s="164"/>
      <c r="FI214" s="164"/>
      <c r="FJ214" s="164"/>
      <c r="FK214" s="164"/>
      <c r="FL214" s="164"/>
      <c r="FM214" s="164"/>
      <c r="FN214" s="164"/>
      <c r="FO214" s="164"/>
    </row>
    <row r="215" spans="146:171" ht="12.75">
      <c r="EP215" s="164"/>
      <c r="EQ215" s="164"/>
      <c r="ER215" s="164"/>
      <c r="ES215" s="162"/>
      <c r="ET215" s="164"/>
      <c r="EU215" s="164"/>
      <c r="EV215" s="164"/>
      <c r="EW215" s="164"/>
      <c r="EX215" s="164"/>
      <c r="EY215" s="164"/>
      <c r="EZ215" s="164"/>
      <c r="FA215" s="164"/>
      <c r="FB215" s="164"/>
      <c r="FC215" s="164"/>
      <c r="FD215" s="164"/>
      <c r="FE215" s="164"/>
      <c r="FF215" s="164"/>
      <c r="FG215" s="164"/>
      <c r="FH215" s="164"/>
      <c r="FI215" s="164"/>
      <c r="FJ215" s="164"/>
      <c r="FK215" s="164"/>
      <c r="FL215" s="164"/>
      <c r="FM215" s="164"/>
      <c r="FN215" s="164"/>
      <c r="FO215" s="164"/>
    </row>
    <row r="216" spans="146:171" ht="12.75">
      <c r="EP216" s="164"/>
      <c r="EQ216" s="164"/>
      <c r="ER216" s="164"/>
      <c r="ES216" s="162"/>
      <c r="ET216" s="164"/>
      <c r="EU216" s="164"/>
      <c r="EV216" s="164"/>
      <c r="EW216" s="164"/>
      <c r="EX216" s="164"/>
      <c r="EY216" s="164"/>
      <c r="EZ216" s="164"/>
      <c r="FA216" s="164"/>
      <c r="FB216" s="164"/>
      <c r="FC216" s="164"/>
      <c r="FD216" s="164"/>
      <c r="FE216" s="164"/>
      <c r="FF216" s="164"/>
      <c r="FG216" s="164"/>
      <c r="FH216" s="164"/>
      <c r="FI216" s="164"/>
      <c r="FJ216" s="164"/>
      <c r="FK216" s="164"/>
      <c r="FL216" s="164"/>
      <c r="FM216" s="164"/>
      <c r="FN216" s="164"/>
      <c r="FO216" s="164"/>
    </row>
    <row r="217" spans="146:171" ht="12.75">
      <c r="EP217" s="164"/>
      <c r="EQ217" s="164"/>
      <c r="ER217" s="164"/>
      <c r="ES217" s="162"/>
      <c r="ET217" s="164"/>
      <c r="EU217" s="164"/>
      <c r="EV217" s="164"/>
      <c r="EW217" s="164"/>
      <c r="EX217" s="164"/>
      <c r="EY217" s="164"/>
      <c r="EZ217" s="164"/>
      <c r="FA217" s="164"/>
      <c r="FB217" s="164"/>
      <c r="FC217" s="164"/>
      <c r="FD217" s="164"/>
      <c r="FE217" s="164"/>
      <c r="FF217" s="164"/>
      <c r="FG217" s="164"/>
      <c r="FH217" s="164"/>
      <c r="FI217" s="164"/>
      <c r="FJ217" s="164"/>
      <c r="FK217" s="164"/>
      <c r="FL217" s="164"/>
      <c r="FM217" s="164"/>
      <c r="FN217" s="164"/>
      <c r="FO217" s="164"/>
    </row>
    <row r="218" spans="146:171" ht="12.75">
      <c r="EP218" s="164"/>
      <c r="EQ218" s="164"/>
      <c r="ER218" s="164"/>
      <c r="ES218" s="162"/>
      <c r="ET218" s="164"/>
      <c r="EU218" s="164"/>
      <c r="EV218" s="164"/>
      <c r="EW218" s="164"/>
      <c r="EX218" s="164"/>
      <c r="EY218" s="164"/>
      <c r="EZ218" s="164"/>
      <c r="FA218" s="164"/>
      <c r="FB218" s="164"/>
      <c r="FC218" s="164"/>
      <c r="FD218" s="164"/>
      <c r="FE218" s="164"/>
      <c r="FF218" s="164"/>
      <c r="FG218" s="164"/>
      <c r="FH218" s="164"/>
      <c r="FI218" s="164"/>
      <c r="FJ218" s="164"/>
      <c r="FK218" s="164"/>
      <c r="FL218" s="164"/>
      <c r="FM218" s="164"/>
      <c r="FN218" s="164"/>
      <c r="FO218" s="164"/>
    </row>
    <row r="219" spans="146:171" ht="12.75">
      <c r="EP219" s="164"/>
      <c r="EQ219" s="164"/>
      <c r="ER219" s="164"/>
      <c r="ES219" s="162"/>
      <c r="ET219" s="164"/>
      <c r="EU219" s="164"/>
      <c r="EV219" s="164"/>
      <c r="EW219" s="164"/>
      <c r="EX219" s="164"/>
      <c r="EY219" s="164"/>
      <c r="EZ219" s="164"/>
      <c r="FA219" s="164"/>
      <c r="FB219" s="164"/>
      <c r="FC219" s="164"/>
      <c r="FD219" s="164"/>
      <c r="FE219" s="164"/>
      <c r="FF219" s="164"/>
      <c r="FG219" s="164"/>
      <c r="FH219" s="164"/>
      <c r="FI219" s="164"/>
      <c r="FJ219" s="164"/>
      <c r="FK219" s="164"/>
      <c r="FL219" s="164"/>
      <c r="FM219" s="164"/>
      <c r="FN219" s="164"/>
      <c r="FO219" s="164"/>
    </row>
    <row r="220" spans="146:171" ht="12.75">
      <c r="EP220" s="164"/>
      <c r="EQ220" s="164"/>
      <c r="ER220" s="164"/>
      <c r="ES220" s="162"/>
      <c r="ET220" s="164"/>
      <c r="EU220" s="164"/>
      <c r="EV220" s="164"/>
      <c r="EW220" s="164"/>
      <c r="EX220" s="164"/>
      <c r="EY220" s="164"/>
      <c r="EZ220" s="164"/>
      <c r="FA220" s="164"/>
      <c r="FB220" s="164"/>
      <c r="FC220" s="164"/>
      <c r="FD220" s="164"/>
      <c r="FE220" s="164"/>
      <c r="FF220" s="164"/>
      <c r="FG220" s="164"/>
      <c r="FH220" s="164"/>
      <c r="FI220" s="164"/>
      <c r="FJ220" s="164"/>
      <c r="FK220" s="164"/>
      <c r="FL220" s="164"/>
      <c r="FM220" s="164"/>
      <c r="FN220" s="164"/>
      <c r="FO220" s="164"/>
    </row>
    <row r="221" spans="146:171" ht="12.75">
      <c r="EP221" s="164"/>
      <c r="EQ221" s="164"/>
      <c r="ER221" s="164"/>
      <c r="ES221" s="162"/>
      <c r="ET221" s="164"/>
      <c r="EU221" s="164"/>
      <c r="EV221" s="164"/>
      <c r="EW221" s="164"/>
      <c r="EX221" s="164"/>
      <c r="EY221" s="164"/>
      <c r="EZ221" s="164"/>
      <c r="FA221" s="164"/>
      <c r="FB221" s="164"/>
      <c r="FC221" s="164"/>
      <c r="FD221" s="164"/>
      <c r="FE221" s="164"/>
      <c r="FF221" s="164"/>
      <c r="FG221" s="164"/>
      <c r="FH221" s="164"/>
      <c r="FI221" s="164"/>
      <c r="FJ221" s="164"/>
      <c r="FK221" s="164"/>
      <c r="FL221" s="164"/>
      <c r="FM221" s="164"/>
      <c r="FN221" s="164"/>
      <c r="FO221" s="164"/>
    </row>
    <row r="222" spans="146:171" ht="12.75">
      <c r="EP222" s="164"/>
      <c r="EQ222" s="164"/>
      <c r="ER222" s="164"/>
      <c r="ES222" s="162"/>
      <c r="ET222" s="164"/>
      <c r="EU222" s="164"/>
      <c r="EV222" s="164"/>
      <c r="EW222" s="164"/>
      <c r="EX222" s="164"/>
      <c r="EY222" s="164"/>
      <c r="EZ222" s="164"/>
      <c r="FA222" s="164"/>
      <c r="FB222" s="164"/>
      <c r="FC222" s="164"/>
      <c r="FD222" s="164"/>
      <c r="FE222" s="164"/>
      <c r="FF222" s="164"/>
      <c r="FG222" s="164"/>
      <c r="FH222" s="164"/>
      <c r="FI222" s="164"/>
      <c r="FJ222" s="164"/>
      <c r="FK222" s="164"/>
      <c r="FL222" s="164"/>
      <c r="FM222" s="164"/>
      <c r="FN222" s="164"/>
      <c r="FO222" s="164"/>
    </row>
    <row r="223" spans="146:171" ht="12.75">
      <c r="EP223" s="164"/>
      <c r="EQ223" s="164"/>
      <c r="ER223" s="164"/>
      <c r="ES223" s="162"/>
      <c r="ET223" s="164"/>
      <c r="EU223" s="164"/>
      <c r="EV223" s="164"/>
      <c r="EW223" s="164"/>
      <c r="EX223" s="164"/>
      <c r="EY223" s="164"/>
      <c r="EZ223" s="164"/>
      <c r="FA223" s="164"/>
      <c r="FB223" s="164"/>
      <c r="FC223" s="164"/>
      <c r="FD223" s="164"/>
      <c r="FE223" s="164"/>
      <c r="FF223" s="164"/>
      <c r="FG223" s="164"/>
      <c r="FH223" s="164"/>
      <c r="FI223" s="164"/>
      <c r="FJ223" s="164"/>
      <c r="FK223" s="164"/>
      <c r="FL223" s="164"/>
      <c r="FM223" s="164"/>
      <c r="FN223" s="164"/>
      <c r="FO223" s="164"/>
    </row>
    <row r="224" spans="146:171" ht="12.75">
      <c r="EP224" s="164"/>
      <c r="EQ224" s="164"/>
      <c r="ER224" s="164"/>
      <c r="ES224" s="162"/>
      <c r="ET224" s="164"/>
      <c r="EU224" s="164"/>
      <c r="EV224" s="164"/>
      <c r="EW224" s="164"/>
      <c r="EX224" s="164"/>
      <c r="EY224" s="164"/>
      <c r="EZ224" s="164"/>
      <c r="FA224" s="164"/>
      <c r="FB224" s="164"/>
      <c r="FC224" s="164"/>
      <c r="FD224" s="164"/>
      <c r="FE224" s="164"/>
      <c r="FF224" s="164"/>
      <c r="FG224" s="164"/>
      <c r="FH224" s="164"/>
      <c r="FI224" s="164"/>
      <c r="FJ224" s="164"/>
      <c r="FK224" s="164"/>
      <c r="FL224" s="164"/>
      <c r="FM224" s="164"/>
      <c r="FN224" s="164"/>
      <c r="FO224" s="164"/>
    </row>
    <row r="225" spans="146:171" ht="12.75">
      <c r="EP225" s="164"/>
      <c r="EQ225" s="164"/>
      <c r="ER225" s="164"/>
      <c r="ES225" s="162"/>
      <c r="ET225" s="164"/>
      <c r="EU225" s="164"/>
      <c r="EV225" s="164"/>
      <c r="EW225" s="164"/>
      <c r="EX225" s="164"/>
      <c r="EY225" s="164"/>
      <c r="EZ225" s="164"/>
      <c r="FA225" s="164"/>
      <c r="FB225" s="164"/>
      <c r="FC225" s="164"/>
      <c r="FD225" s="164"/>
      <c r="FE225" s="164"/>
      <c r="FF225" s="164"/>
      <c r="FG225" s="164"/>
      <c r="FH225" s="164"/>
      <c r="FI225" s="164"/>
      <c r="FJ225" s="164"/>
      <c r="FK225" s="164"/>
      <c r="FL225" s="164"/>
      <c r="FM225" s="164"/>
      <c r="FN225" s="164"/>
      <c r="FO225" s="164"/>
    </row>
    <row r="226" spans="146:171" ht="12.75">
      <c r="EP226" s="164"/>
      <c r="EQ226" s="164"/>
      <c r="ER226" s="164"/>
      <c r="ES226" s="162"/>
      <c r="ET226" s="164"/>
      <c r="EU226" s="164"/>
      <c r="EV226" s="164"/>
      <c r="EW226" s="164"/>
      <c r="EX226" s="164"/>
      <c r="EY226" s="164"/>
      <c r="EZ226" s="164"/>
      <c r="FA226" s="164"/>
      <c r="FB226" s="164"/>
      <c r="FC226" s="164"/>
      <c r="FD226" s="164"/>
      <c r="FE226" s="164"/>
      <c r="FF226" s="164"/>
      <c r="FG226" s="164"/>
      <c r="FH226" s="164"/>
      <c r="FI226" s="164"/>
      <c r="FJ226" s="164"/>
      <c r="FK226" s="164"/>
      <c r="FL226" s="164"/>
      <c r="FM226" s="164"/>
      <c r="FN226" s="164"/>
      <c r="FO226" s="164"/>
    </row>
    <row r="227" spans="146:171" ht="12.75">
      <c r="EP227" s="164"/>
      <c r="EQ227" s="164"/>
      <c r="ER227" s="164"/>
      <c r="ES227" s="162"/>
      <c r="ET227" s="164"/>
      <c r="EU227" s="164"/>
      <c r="EV227" s="164"/>
      <c r="EW227" s="164"/>
      <c r="EX227" s="164"/>
      <c r="EY227" s="164"/>
      <c r="EZ227" s="164"/>
      <c r="FA227" s="164"/>
      <c r="FB227" s="164"/>
      <c r="FC227" s="164"/>
      <c r="FD227" s="164"/>
      <c r="FE227" s="164"/>
      <c r="FF227" s="164"/>
      <c r="FG227" s="164"/>
      <c r="FH227" s="164"/>
      <c r="FI227" s="164"/>
      <c r="FJ227" s="164"/>
      <c r="FK227" s="164"/>
      <c r="FL227" s="164"/>
      <c r="FM227" s="164"/>
      <c r="FN227" s="164"/>
      <c r="FO227" s="164"/>
    </row>
    <row r="228" spans="146:171" ht="12.75">
      <c r="EP228" s="164"/>
      <c r="EQ228" s="164"/>
      <c r="ER228" s="164"/>
      <c r="ES228" s="162"/>
      <c r="ET228" s="164"/>
      <c r="EU228" s="164"/>
      <c r="EV228" s="164"/>
      <c r="EW228" s="164"/>
      <c r="EX228" s="164"/>
      <c r="EY228" s="164"/>
      <c r="EZ228" s="164"/>
      <c r="FA228" s="164"/>
      <c r="FB228" s="164"/>
      <c r="FC228" s="164"/>
      <c r="FD228" s="164"/>
      <c r="FE228" s="164"/>
      <c r="FF228" s="164"/>
      <c r="FG228" s="164"/>
      <c r="FH228" s="164"/>
      <c r="FI228" s="164"/>
      <c r="FJ228" s="164"/>
      <c r="FK228" s="164"/>
      <c r="FL228" s="164"/>
      <c r="FM228" s="164"/>
      <c r="FN228" s="164"/>
      <c r="FO228" s="164"/>
    </row>
    <row r="229" spans="146:171" ht="12.75">
      <c r="EP229" s="164"/>
      <c r="EQ229" s="164"/>
      <c r="ER229" s="164"/>
      <c r="ES229" s="162"/>
      <c r="ET229" s="164"/>
      <c r="EU229" s="164"/>
      <c r="EV229" s="164"/>
      <c r="EW229" s="164"/>
      <c r="EX229" s="164"/>
      <c r="EY229" s="164"/>
      <c r="EZ229" s="164"/>
      <c r="FA229" s="164"/>
      <c r="FB229" s="164"/>
      <c r="FC229" s="164"/>
      <c r="FD229" s="164"/>
      <c r="FE229" s="164"/>
      <c r="FF229" s="164"/>
      <c r="FG229" s="164"/>
      <c r="FH229" s="164"/>
      <c r="FI229" s="164"/>
      <c r="FJ229" s="164"/>
      <c r="FK229" s="164"/>
      <c r="FL229" s="164"/>
      <c r="FM229" s="164"/>
      <c r="FN229" s="164"/>
      <c r="FO229" s="164"/>
    </row>
    <row r="230" spans="146:171" ht="12.75">
      <c r="EP230" s="164"/>
      <c r="EQ230" s="164"/>
      <c r="ER230" s="164"/>
      <c r="ES230" s="162"/>
      <c r="ET230" s="164"/>
      <c r="EU230" s="164"/>
      <c r="EV230" s="164"/>
      <c r="EW230" s="164"/>
      <c r="EX230" s="164"/>
      <c r="EY230" s="164"/>
      <c r="EZ230" s="164"/>
      <c r="FA230" s="164"/>
      <c r="FB230" s="164"/>
      <c r="FC230" s="164"/>
      <c r="FD230" s="164"/>
      <c r="FE230" s="164"/>
      <c r="FF230" s="164"/>
      <c r="FG230" s="164"/>
      <c r="FH230" s="164"/>
      <c r="FI230" s="164"/>
      <c r="FJ230" s="164"/>
      <c r="FK230" s="164"/>
      <c r="FL230" s="164"/>
      <c r="FM230" s="164"/>
      <c r="FN230" s="164"/>
      <c r="FO230" s="164"/>
    </row>
    <row r="231" spans="146:171" ht="12.75">
      <c r="EP231" s="164"/>
      <c r="EQ231" s="164"/>
      <c r="ER231" s="164"/>
      <c r="ES231" s="162"/>
      <c r="ET231" s="164"/>
      <c r="EU231" s="164"/>
      <c r="EV231" s="164"/>
      <c r="EW231" s="164"/>
      <c r="EX231" s="164"/>
      <c r="EY231" s="164"/>
      <c r="EZ231" s="164"/>
      <c r="FA231" s="164"/>
      <c r="FB231" s="164"/>
      <c r="FC231" s="164"/>
      <c r="FD231" s="164"/>
      <c r="FE231" s="164"/>
      <c r="FF231" s="164"/>
      <c r="FG231" s="164"/>
      <c r="FH231" s="164"/>
      <c r="FI231" s="164"/>
      <c r="FJ231" s="164"/>
      <c r="FK231" s="164"/>
      <c r="FL231" s="164"/>
      <c r="FM231" s="164"/>
      <c r="FN231" s="164"/>
      <c r="FO231" s="164"/>
    </row>
    <row r="232" spans="146:171" ht="12.75">
      <c r="EP232" s="164"/>
      <c r="EQ232" s="164"/>
      <c r="ER232" s="164"/>
      <c r="ES232" s="162"/>
      <c r="ET232" s="164"/>
      <c r="EU232" s="164"/>
      <c r="EV232" s="164"/>
      <c r="EW232" s="164"/>
      <c r="EX232" s="164"/>
      <c r="EY232" s="164"/>
      <c r="EZ232" s="164"/>
      <c r="FA232" s="164"/>
      <c r="FB232" s="164"/>
      <c r="FC232" s="164"/>
      <c r="FD232" s="164"/>
      <c r="FE232" s="164"/>
      <c r="FF232" s="164"/>
      <c r="FG232" s="164"/>
      <c r="FH232" s="164"/>
      <c r="FI232" s="164"/>
      <c r="FJ232" s="164"/>
      <c r="FK232" s="164"/>
      <c r="FL232" s="164"/>
      <c r="FM232" s="164"/>
      <c r="FN232" s="164"/>
      <c r="FO232" s="164"/>
    </row>
    <row r="233" spans="146:171" ht="12.75">
      <c r="EP233" s="164"/>
      <c r="EQ233" s="164"/>
      <c r="ER233" s="164"/>
      <c r="ES233" s="162"/>
      <c r="ET233" s="164"/>
      <c r="EU233" s="164"/>
      <c r="EV233" s="164"/>
      <c r="EW233" s="164"/>
      <c r="EX233" s="164"/>
      <c r="EY233" s="164"/>
      <c r="EZ233" s="164"/>
      <c r="FA233" s="164"/>
      <c r="FB233" s="164"/>
      <c r="FC233" s="164"/>
      <c r="FD233" s="164"/>
      <c r="FE233" s="164"/>
      <c r="FF233" s="164"/>
      <c r="FG233" s="164"/>
      <c r="FH233" s="164"/>
      <c r="FI233" s="164"/>
      <c r="FJ233" s="164"/>
      <c r="FK233" s="164"/>
      <c r="FL233" s="164"/>
      <c r="FM233" s="164"/>
      <c r="FN233" s="164"/>
      <c r="FO233" s="164"/>
    </row>
    <row r="234" spans="146:171" ht="12.75">
      <c r="EP234" s="164"/>
      <c r="EQ234" s="164"/>
      <c r="ER234" s="164"/>
      <c r="ES234" s="162"/>
      <c r="ET234" s="164"/>
      <c r="EU234" s="164"/>
      <c r="EV234" s="164"/>
      <c r="EW234" s="164"/>
      <c r="EX234" s="164"/>
      <c r="EY234" s="164"/>
      <c r="EZ234" s="164"/>
      <c r="FA234" s="164"/>
      <c r="FB234" s="164"/>
      <c r="FC234" s="164"/>
      <c r="FD234" s="164"/>
      <c r="FE234" s="164"/>
      <c r="FF234" s="164"/>
      <c r="FG234" s="164"/>
      <c r="FH234" s="164"/>
      <c r="FI234" s="164"/>
      <c r="FJ234" s="164"/>
      <c r="FK234" s="164"/>
      <c r="FL234" s="164"/>
      <c r="FM234" s="164"/>
      <c r="FN234" s="164"/>
      <c r="FO234" s="164"/>
    </row>
    <row r="235" spans="146:171" ht="12.75">
      <c r="EP235" s="164"/>
      <c r="EQ235" s="164"/>
      <c r="ER235" s="164"/>
      <c r="ES235" s="162"/>
      <c r="ET235" s="164"/>
      <c r="EU235" s="164"/>
      <c r="EV235" s="164"/>
      <c r="EW235" s="164"/>
      <c r="EX235" s="164"/>
      <c r="EY235" s="164"/>
      <c r="EZ235" s="164"/>
      <c r="FA235" s="164"/>
      <c r="FB235" s="164"/>
      <c r="FC235" s="164"/>
      <c r="FD235" s="164"/>
      <c r="FE235" s="164"/>
      <c r="FF235" s="164"/>
      <c r="FG235" s="164"/>
      <c r="FH235" s="164"/>
      <c r="FI235" s="164"/>
      <c r="FJ235" s="164"/>
      <c r="FK235" s="164"/>
      <c r="FL235" s="164"/>
      <c r="FM235" s="164"/>
      <c r="FN235" s="164"/>
      <c r="FO235" s="164"/>
    </row>
    <row r="236" spans="146:171" ht="12.75">
      <c r="EP236" s="164"/>
      <c r="EQ236" s="164"/>
      <c r="ER236" s="164"/>
      <c r="ES236" s="162"/>
      <c r="ET236" s="164"/>
      <c r="EU236" s="164"/>
      <c r="EV236" s="164"/>
      <c r="EW236" s="164"/>
      <c r="EX236" s="164"/>
      <c r="EY236" s="164"/>
      <c r="EZ236" s="164"/>
      <c r="FA236" s="164"/>
      <c r="FB236" s="164"/>
      <c r="FC236" s="164"/>
      <c r="FD236" s="164"/>
      <c r="FE236" s="164"/>
      <c r="FF236" s="164"/>
      <c r="FG236" s="164"/>
      <c r="FH236" s="164"/>
      <c r="FI236" s="164"/>
      <c r="FJ236" s="164"/>
      <c r="FK236" s="164"/>
      <c r="FL236" s="164"/>
      <c r="FM236" s="164"/>
      <c r="FN236" s="164"/>
      <c r="FO236" s="164"/>
    </row>
    <row r="237" spans="146:171" ht="12.75">
      <c r="EP237" s="164"/>
      <c r="EQ237" s="164"/>
      <c r="ER237" s="164"/>
      <c r="ES237" s="162"/>
      <c r="ET237" s="164"/>
      <c r="EU237" s="164"/>
      <c r="EV237" s="164"/>
      <c r="EW237" s="164"/>
      <c r="EX237" s="164"/>
      <c r="EY237" s="164"/>
      <c r="EZ237" s="164"/>
      <c r="FA237" s="164"/>
      <c r="FB237" s="164"/>
      <c r="FC237" s="164"/>
      <c r="FD237" s="164"/>
      <c r="FE237" s="164"/>
      <c r="FF237" s="164"/>
      <c r="FG237" s="164"/>
      <c r="FH237" s="164"/>
      <c r="FI237" s="164"/>
      <c r="FJ237" s="164"/>
      <c r="FK237" s="164"/>
      <c r="FL237" s="164"/>
      <c r="FM237" s="164"/>
      <c r="FN237" s="164"/>
      <c r="FO237" s="164"/>
    </row>
    <row r="238" spans="146:171" ht="12.75">
      <c r="EP238" s="164"/>
      <c r="EQ238" s="164"/>
      <c r="ER238" s="164"/>
      <c r="ES238" s="162"/>
      <c r="ET238" s="164"/>
      <c r="EU238" s="164"/>
      <c r="EV238" s="164"/>
      <c r="EW238" s="164"/>
      <c r="EX238" s="164"/>
      <c r="EY238" s="164"/>
      <c r="EZ238" s="164"/>
      <c r="FA238" s="164"/>
      <c r="FB238" s="164"/>
      <c r="FC238" s="164"/>
      <c r="FD238" s="164"/>
      <c r="FE238" s="164"/>
      <c r="FF238" s="164"/>
      <c r="FG238" s="164"/>
      <c r="FH238" s="164"/>
      <c r="FI238" s="164"/>
      <c r="FJ238" s="164"/>
      <c r="FK238" s="164"/>
      <c r="FL238" s="164"/>
      <c r="FM238" s="164"/>
      <c r="FN238" s="164"/>
      <c r="FO238" s="164"/>
    </row>
    <row r="239" spans="146:171" ht="12.75">
      <c r="EP239" s="164"/>
      <c r="EQ239" s="164"/>
      <c r="ER239" s="164"/>
      <c r="ES239" s="162"/>
      <c r="ET239" s="164"/>
      <c r="EU239" s="164"/>
      <c r="EV239" s="164"/>
      <c r="EW239" s="164"/>
      <c r="EX239" s="164"/>
      <c r="EY239" s="164"/>
      <c r="EZ239" s="164"/>
      <c r="FA239" s="164"/>
      <c r="FB239" s="164"/>
      <c r="FC239" s="164"/>
      <c r="FD239" s="164"/>
      <c r="FE239" s="164"/>
      <c r="FF239" s="164"/>
      <c r="FG239" s="164"/>
      <c r="FH239" s="164"/>
      <c r="FI239" s="164"/>
      <c r="FJ239" s="164"/>
      <c r="FK239" s="164"/>
      <c r="FL239" s="164"/>
      <c r="FM239" s="164"/>
      <c r="FN239" s="164"/>
      <c r="FO239" s="164"/>
    </row>
  </sheetData>
  <sheetProtection password="D5F2" sheet="1" objects="1" scenarios="1"/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9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2.28125" style="1" customWidth="1"/>
    <col min="2" max="2" width="13.28125" style="2" customWidth="1"/>
    <col min="3" max="3" width="13.8515625" style="222" customWidth="1"/>
    <col min="4" max="4" width="9.28125" style="221" customWidth="1"/>
    <col min="5" max="5" width="14.57421875" style="1" customWidth="1"/>
    <col min="6" max="6" width="9.140625" style="1" customWidth="1"/>
    <col min="7" max="7" width="17.140625" style="1" customWidth="1"/>
    <col min="8" max="8" width="12.140625" style="1" customWidth="1"/>
    <col min="9" max="9" width="3.00390625" style="1" customWidth="1"/>
    <col min="10" max="10" width="10.8515625" style="1" customWidth="1"/>
    <col min="11" max="11" width="11.7109375" style="1" customWidth="1"/>
    <col min="12" max="12" width="10.140625" style="1" customWidth="1"/>
    <col min="13" max="13" width="12.421875" style="1" customWidth="1"/>
    <col min="14" max="14" width="11.421875" style="1" customWidth="1"/>
    <col min="15" max="15" width="11.00390625" style="1" customWidth="1"/>
    <col min="16" max="16" width="11.28125" style="1" customWidth="1"/>
    <col min="17" max="17" width="9.57421875" style="1" customWidth="1"/>
    <col min="18" max="18" width="18.140625" style="1" customWidth="1"/>
    <col min="19" max="19" width="10.28125" style="1" hidden="1" customWidth="1"/>
    <col min="20" max="20" width="6.28125" style="1" customWidth="1"/>
    <col min="21" max="34" width="9.140625" style="1" hidden="1" customWidth="1"/>
    <col min="35" max="37" width="9.140625" style="1" customWidth="1"/>
    <col min="38" max="38" width="13.8515625" style="1" customWidth="1"/>
    <col min="39" max="16384" width="9.140625" style="1" customWidth="1"/>
  </cols>
  <sheetData>
    <row r="1" spans="1:40" ht="9.75" customHeight="1">
      <c r="A1" s="239"/>
      <c r="B1" s="240"/>
      <c r="C1" s="333"/>
      <c r="D1" s="334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ht="20.25">
      <c r="A2" s="239"/>
      <c r="B2" s="409" t="s">
        <v>173</v>
      </c>
      <c r="C2" s="377"/>
      <c r="D2" s="378"/>
      <c r="E2" s="408"/>
      <c r="F2" s="408"/>
      <c r="G2" s="408"/>
      <c r="H2" s="561"/>
      <c r="I2" s="239"/>
      <c r="J2" s="368" t="s">
        <v>1</v>
      </c>
      <c r="K2" s="365"/>
      <c r="L2" s="365"/>
      <c r="M2" s="45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ht="15">
      <c r="A3" s="239"/>
      <c r="B3" s="356"/>
      <c r="C3" s="385" t="s">
        <v>174</v>
      </c>
      <c r="D3" s="408"/>
      <c r="E3" s="408"/>
      <c r="F3" s="408"/>
      <c r="G3" s="408"/>
      <c r="H3" s="561"/>
      <c r="I3" s="239"/>
      <c r="J3" s="369" t="s">
        <v>2</v>
      </c>
      <c r="K3" s="366"/>
      <c r="L3" s="366"/>
      <c r="M3" s="460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ht="15">
      <c r="A4" s="239"/>
      <c r="B4" s="385"/>
      <c r="C4" s="385" t="s">
        <v>175</v>
      </c>
      <c r="D4" s="385"/>
      <c r="E4" s="352"/>
      <c r="F4" s="408"/>
      <c r="G4" s="385"/>
      <c r="H4" s="561"/>
      <c r="I4" s="239"/>
      <c r="J4" s="370" t="s">
        <v>124</v>
      </c>
      <c r="K4" s="366"/>
      <c r="L4" s="366"/>
      <c r="M4" s="460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ht="15">
      <c r="A5" s="239"/>
      <c r="B5" s="385"/>
      <c r="C5" s="385" t="s">
        <v>176</v>
      </c>
      <c r="D5" s="385"/>
      <c r="E5" s="352"/>
      <c r="F5" s="408"/>
      <c r="G5" s="385"/>
      <c r="H5" s="561"/>
      <c r="I5" s="239"/>
      <c r="J5" s="371" t="s">
        <v>127</v>
      </c>
      <c r="K5" s="367"/>
      <c r="L5" s="367"/>
      <c r="M5" s="460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</row>
    <row r="6" spans="1:40" ht="15">
      <c r="A6" s="239"/>
      <c r="B6" s="357" t="s">
        <v>153</v>
      </c>
      <c r="C6" s="385"/>
      <c r="D6" s="357"/>
      <c r="E6" s="357" t="s">
        <v>5</v>
      </c>
      <c r="F6" s="408"/>
      <c r="G6" s="408"/>
      <c r="H6" s="561"/>
      <c r="I6" s="239"/>
      <c r="J6" s="239"/>
      <c r="K6" s="239"/>
      <c r="L6" s="239"/>
      <c r="M6" s="461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</row>
    <row r="7" spans="1:40" ht="15.75" thickBot="1">
      <c r="A7" s="239"/>
      <c r="B7" s="684"/>
      <c r="C7" s="684"/>
      <c r="D7" s="685" t="s">
        <v>9</v>
      </c>
      <c r="E7" s="684"/>
      <c r="F7" s="539"/>
      <c r="G7" s="540" t="s">
        <v>10</v>
      </c>
      <c r="H7" s="562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ht="12.75">
      <c r="A8" s="239"/>
      <c r="B8" s="240"/>
      <c r="C8" s="194"/>
      <c r="D8" s="334"/>
      <c r="E8" s="239"/>
      <c r="F8" s="239"/>
      <c r="G8" s="239"/>
      <c r="H8" s="239"/>
      <c r="I8" s="239"/>
      <c r="J8" s="240" t="s">
        <v>177</v>
      </c>
      <c r="K8" s="239"/>
      <c r="L8" s="239"/>
      <c r="M8" s="230" t="s">
        <v>154</v>
      </c>
      <c r="N8" s="231" t="s">
        <v>155</v>
      </c>
      <c r="O8" s="231"/>
      <c r="P8" s="231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ht="17.25" customHeight="1">
      <c r="A9" s="239"/>
      <c r="B9" s="426" t="s">
        <v>11</v>
      </c>
      <c r="C9" s="468" t="s">
        <v>178</v>
      </c>
      <c r="D9" s="469"/>
      <c r="E9" s="470"/>
      <c r="F9" s="239"/>
      <c r="G9" s="427" t="s">
        <v>15</v>
      </c>
      <c r="H9" s="423">
        <v>1998</v>
      </c>
      <c r="I9" s="269"/>
      <c r="J9" s="440" t="s">
        <v>62</v>
      </c>
      <c r="K9" s="422">
        <v>0.25</v>
      </c>
      <c r="L9" s="239"/>
      <c r="M9" s="232"/>
      <c r="N9" s="232" t="s">
        <v>179</v>
      </c>
      <c r="O9" s="231"/>
      <c r="P9" s="231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3" customFormat="1" ht="6" customHeight="1">
      <c r="A10" s="239"/>
      <c r="B10" s="336"/>
      <c r="C10" s="337"/>
      <c r="D10" s="334"/>
      <c r="E10" s="336"/>
      <c r="F10" s="338"/>
      <c r="G10" s="339"/>
      <c r="H10" s="335"/>
      <c r="I10" s="335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15" customHeight="1">
      <c r="A11" s="239"/>
      <c r="B11" s="426" t="s">
        <v>20</v>
      </c>
      <c r="C11" s="422">
        <v>1</v>
      </c>
      <c r="D11" s="568">
        <f>IF(OR(C11&lt;1,C11&gt;365),"ERRO! ( 1&lt;NDA&lt;365 )","")</f>
      </c>
      <c r="E11" s="239"/>
      <c r="G11" s="428" t="s">
        <v>13</v>
      </c>
      <c r="H11" s="425">
        <v>-22.72</v>
      </c>
      <c r="J11" s="440" t="s">
        <v>180</v>
      </c>
      <c r="K11" s="424">
        <v>0.5</v>
      </c>
      <c r="L11" s="572">
        <f>IF(OR(H11&lt;-90,H11&gt;90),0,H11)</f>
        <v>-22.72</v>
      </c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</row>
    <row r="12" spans="1:40" ht="3.75" customHeight="1">
      <c r="A12" s="239"/>
      <c r="C12" s="335">
        <v>5</v>
      </c>
      <c r="D12" s="334"/>
      <c r="E12" s="239"/>
      <c r="F12" s="239"/>
      <c r="G12" s="239"/>
      <c r="H12" s="239"/>
      <c r="I12" s="420"/>
      <c r="J12" s="239"/>
      <c r="K12" s="239"/>
      <c r="L12" s="239"/>
      <c r="M12" s="235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1:40" ht="15" customHeight="1">
      <c r="A13" s="239"/>
      <c r="B13" s="429" t="s">
        <v>181</v>
      </c>
      <c r="C13" s="471" t="s">
        <v>182</v>
      </c>
      <c r="D13" s="472"/>
      <c r="F13" s="428" t="s">
        <v>183</v>
      </c>
      <c r="G13" s="431"/>
      <c r="H13" s="422">
        <v>0.4</v>
      </c>
      <c r="I13" s="259"/>
      <c r="J13" s="239"/>
      <c r="K13" s="239"/>
      <c r="L13" s="239"/>
      <c r="M13" s="239"/>
      <c r="N13" s="235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</row>
    <row r="14" spans="1:40" ht="4.5" customHeight="1" thickBot="1">
      <c r="A14" s="239"/>
      <c r="C14" s="194"/>
      <c r="D14" s="334"/>
      <c r="E14" s="239"/>
      <c r="F14" s="239"/>
      <c r="G14" s="239"/>
      <c r="H14" s="239"/>
      <c r="I14" s="239"/>
      <c r="J14" s="239"/>
      <c r="K14" s="239"/>
      <c r="M14" s="239"/>
      <c r="N14" s="235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</row>
    <row r="15" spans="1:40" ht="18" customHeight="1">
      <c r="A15" s="239"/>
      <c r="B15" s="566" t="s">
        <v>184</v>
      </c>
      <c r="C15" s="430"/>
      <c r="D15" s="424">
        <v>1</v>
      </c>
      <c r="E15" s="239"/>
      <c r="F15" s="428" t="s">
        <v>185</v>
      </c>
      <c r="G15" s="431"/>
      <c r="H15" s="544">
        <v>0.08</v>
      </c>
      <c r="I15" s="239"/>
      <c r="J15" s="651" t="s">
        <v>186</v>
      </c>
      <c r="K15" s="652"/>
      <c r="L15" s="652"/>
      <c r="M15" s="653"/>
      <c r="N15" s="647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</row>
    <row r="16" spans="1:40" ht="6" customHeight="1" thickBot="1">
      <c r="A16" s="239"/>
      <c r="B16" s="567"/>
      <c r="C16" s="559"/>
      <c r="D16" s="563"/>
      <c r="E16" s="239"/>
      <c r="F16" s="336"/>
      <c r="G16" s="235"/>
      <c r="H16" s="564"/>
      <c r="I16" s="239"/>
      <c r="J16" s="647"/>
      <c r="K16" s="235"/>
      <c r="L16" s="235"/>
      <c r="M16" s="551"/>
      <c r="N16" s="235"/>
      <c r="O16" s="239"/>
      <c r="P16" s="239"/>
      <c r="Q16" s="239"/>
      <c r="R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</row>
    <row r="17" spans="1:40" ht="17.25" customHeight="1" thickBot="1">
      <c r="A17" s="239"/>
      <c r="B17" s="560" t="str">
        <f>IF(D15=1,"Grupo 1: C3 de inverno (alfafa, feijão, trigo, ervilha, batata, repolho, etc",IF(D15=2,"Grupo 2: C3 de verão (algodão, amendoim, arroz, girassol, tomate, soja, citrus, etc",IF(D15=3,"Grupo 3: C4 (milho, sorgo, cana-de-açucar, capins, etc)","")))</f>
        <v>Grupo 1: C3 de inverno (alfafa, feijão, trigo, ervilha, batata, repolho, etc</v>
      </c>
      <c r="C17" s="552"/>
      <c r="D17" s="553"/>
      <c r="E17" s="554"/>
      <c r="F17" s="554"/>
      <c r="G17" s="555"/>
      <c r="H17" s="239"/>
      <c r="I17" s="239"/>
      <c r="J17" s="565" t="s">
        <v>187</v>
      </c>
      <c r="K17" s="235"/>
      <c r="L17" s="338">
        <f>SUM(R22:R94)</f>
        <v>358.33702465904</v>
      </c>
      <c r="M17" s="650" t="s">
        <v>188</v>
      </c>
      <c r="O17" s="239"/>
      <c r="P17" s="239"/>
      <c r="Q17" s="239"/>
      <c r="R17" s="239"/>
      <c r="S17" s="545" t="s">
        <v>161</v>
      </c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</row>
    <row r="18" spans="1:40" ht="17.25" customHeight="1" thickBot="1">
      <c r="A18" s="239"/>
      <c r="B18" s="574">
        <f>IF(AND(D15&lt;&gt;1,D15&lt;&gt;2,D15&lt;&gt;3),"ERRO! Valor do grupo de cultura incorreto.","")</f>
      </c>
      <c r="C18" s="556"/>
      <c r="D18" s="556"/>
      <c r="E18" s="557"/>
      <c r="F18" s="571">
        <f>IF(OR(H11&lt;-90,H11&gt;90),"ERRO! ( -90 &lt; LAT &lt; +90)","")</f>
      </c>
      <c r="G18" s="558"/>
      <c r="H18" s="239"/>
      <c r="I18" s="239"/>
      <c r="J18" s="654" t="s">
        <v>189</v>
      </c>
      <c r="K18" s="648"/>
      <c r="L18" s="649">
        <f>L17/(1-H15)</f>
        <v>389.49676593373914</v>
      </c>
      <c r="M18" s="421" t="s">
        <v>161</v>
      </c>
      <c r="N18" s="550"/>
      <c r="O18" s="550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</row>
    <row r="19" spans="1:40" ht="8.25" customHeight="1" thickBo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5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</row>
    <row r="20" spans="1:40" ht="18.75">
      <c r="A20" s="239"/>
      <c r="B20" s="628" t="s">
        <v>136</v>
      </c>
      <c r="C20" s="629" t="s">
        <v>137</v>
      </c>
      <c r="D20" s="630" t="s">
        <v>27</v>
      </c>
      <c r="E20" s="631" t="s">
        <v>190</v>
      </c>
      <c r="F20" s="631" t="s">
        <v>191</v>
      </c>
      <c r="G20" s="631" t="s">
        <v>72</v>
      </c>
      <c r="H20" s="630" t="s">
        <v>30</v>
      </c>
      <c r="I20" s="630"/>
      <c r="J20" s="630" t="s">
        <v>192</v>
      </c>
      <c r="K20" s="630" t="s">
        <v>193</v>
      </c>
      <c r="L20" s="630" t="s">
        <v>194</v>
      </c>
      <c r="M20" s="630" t="s">
        <v>195</v>
      </c>
      <c r="N20" s="630" t="s">
        <v>196</v>
      </c>
      <c r="O20" s="630" t="s">
        <v>197</v>
      </c>
      <c r="P20" s="630" t="s">
        <v>198</v>
      </c>
      <c r="Q20" s="630" t="s">
        <v>199</v>
      </c>
      <c r="R20" s="632" t="s">
        <v>200</v>
      </c>
      <c r="T20" s="219"/>
      <c r="U20" s="223"/>
      <c r="V20" s="223"/>
      <c r="W20" s="219" t="s">
        <v>201</v>
      </c>
      <c r="X20" s="219" t="s">
        <v>202</v>
      </c>
      <c r="Y20" s="219" t="s">
        <v>18</v>
      </c>
      <c r="Z20" s="219" t="s">
        <v>203</v>
      </c>
      <c r="AA20" s="219" t="s">
        <v>18</v>
      </c>
      <c r="AB20" s="219" t="s">
        <v>204</v>
      </c>
      <c r="AC20" s="219" t="s">
        <v>18</v>
      </c>
      <c r="AF20" s="219"/>
      <c r="AG20" s="219"/>
      <c r="AH20" s="219" t="s">
        <v>18</v>
      </c>
      <c r="AI20" s="225" t="s">
        <v>138</v>
      </c>
      <c r="AJ20" s="179"/>
      <c r="AK20" s="226"/>
      <c r="AL20" s="546" t="s">
        <v>205</v>
      </c>
      <c r="AM20" s="239"/>
      <c r="AN20" s="239"/>
    </row>
    <row r="21" spans="1:40" ht="15" thickBot="1">
      <c r="A21" s="239"/>
      <c r="B21" s="641" t="s">
        <v>143</v>
      </c>
      <c r="C21" s="642" t="s">
        <v>144</v>
      </c>
      <c r="D21" s="643" t="s">
        <v>18</v>
      </c>
      <c r="E21" s="644" t="s">
        <v>206</v>
      </c>
      <c r="F21" s="645"/>
      <c r="G21" s="644" t="s">
        <v>207</v>
      </c>
      <c r="H21" s="645" t="s">
        <v>48</v>
      </c>
      <c r="I21" s="645"/>
      <c r="J21" s="645" t="s">
        <v>208</v>
      </c>
      <c r="K21" s="645" t="s">
        <v>209</v>
      </c>
      <c r="L21" s="645"/>
      <c r="M21" s="645"/>
      <c r="N21" s="645" t="s">
        <v>210</v>
      </c>
      <c r="O21" s="645"/>
      <c r="P21" s="645"/>
      <c r="Q21" s="645"/>
      <c r="R21" s="646" t="s">
        <v>211</v>
      </c>
      <c r="T21" s="340"/>
      <c r="U21" s="224"/>
      <c r="V21" s="224"/>
      <c r="W21" s="220" t="s">
        <v>212</v>
      </c>
      <c r="X21" s="220" t="s">
        <v>213</v>
      </c>
      <c r="Y21" s="220" t="s">
        <v>214</v>
      </c>
      <c r="Z21" s="220" t="s">
        <v>213</v>
      </c>
      <c r="AA21" s="220" t="s">
        <v>214</v>
      </c>
      <c r="AB21" s="220" t="s">
        <v>213</v>
      </c>
      <c r="AC21" s="220" t="s">
        <v>214</v>
      </c>
      <c r="AF21" s="224"/>
      <c r="AG21" s="224"/>
      <c r="AH21" s="224"/>
      <c r="AI21" s="227" t="s">
        <v>54</v>
      </c>
      <c r="AJ21" s="228" t="s">
        <v>55</v>
      </c>
      <c r="AK21" s="229" t="s">
        <v>30</v>
      </c>
      <c r="AL21" s="547" t="s">
        <v>210</v>
      </c>
      <c r="AM21" s="239"/>
      <c r="AN21" s="239"/>
    </row>
    <row r="22" spans="1:40" ht="12.75">
      <c r="A22" s="239"/>
      <c r="B22" s="633" t="s">
        <v>92</v>
      </c>
      <c r="C22" s="109">
        <v>10</v>
      </c>
      <c r="D22" s="233">
        <f>IF(C11&lt;1,1,IF(C11&gt;365,365,C11))</f>
        <v>1</v>
      </c>
      <c r="E22" s="157">
        <v>24.5</v>
      </c>
      <c r="F22" s="109">
        <v>0</v>
      </c>
      <c r="G22" s="109">
        <v>8.32</v>
      </c>
      <c r="H22" s="73">
        <f aca="true" t="shared" si="0" ref="H22:H53">AK22</f>
        <v>13.365832982645788</v>
      </c>
      <c r="I22" s="665">
        <f>IF(F22&lt;&gt;0,"CULT","")</f>
      </c>
      <c r="J22" s="73" t="str">
        <f aca="true" t="shared" si="1" ref="J22:J53">IF(F22=0,".",31.7+0.219*W22*L22*O22)</f>
        <v>.</v>
      </c>
      <c r="K22" s="73" t="str">
        <f aca="true" t="shared" si="2" ref="K22:K53">IF(F22=0,".",107.2+0.36*W22*M22*(1-O22))</f>
        <v>.</v>
      </c>
      <c r="L22" s="73" t="str">
        <f>IF(F22=0,".",IF($D$15=1,X22,IF($D$15=2,Z22,IF($D$15=3,AB22))))</f>
        <v>.</v>
      </c>
      <c r="M22" s="73" t="str">
        <f>IF(F22=0,".",IF($D$15=1,Y22,IF($D$15=2,AA22,IF($D$15=3,AC22))))</f>
        <v>.</v>
      </c>
      <c r="N22" s="73">
        <f aca="true" t="shared" si="3" ref="N22:N53">($K$9+$K$11*(G22/H22))*W22</f>
        <v>556.7080941684682</v>
      </c>
      <c r="O22" s="73" t="str">
        <f aca="true" t="shared" si="4" ref="O22:O53">IF(F22=0,".",1-G22/H22)</f>
        <v>.</v>
      </c>
      <c r="P22" s="73" t="str">
        <f aca="true" t="shared" si="5" ref="P22:P53">IF(F22=0,".",IF(F22&gt;5,1,0.0186+0.37*F22-0.035*F22^2))</f>
        <v>.</v>
      </c>
      <c r="Q22" s="73" t="str">
        <f aca="true" t="shared" si="6" ref="Q22:Q53">IF(F22=0,".",IF(E22&lt;20,0.6,0.5))</f>
        <v>.</v>
      </c>
      <c r="R22" s="634" t="str">
        <f aca="true" t="shared" si="7" ref="R22:R53">IF(F22=0,".",IF(F22=0,0,(J22+K22)*P22*Q22*$H$13*C22))</f>
        <v>.</v>
      </c>
      <c r="T22" s="235"/>
      <c r="W22" s="222">
        <f>AL22</f>
        <v>991.9227919513247</v>
      </c>
      <c r="X22" s="1">
        <f>IF(AND(E22&gt;=15,E22&lt;=20),0.7+0.035*E22-0.001*E22^2,IF(OR(E22&lt;15,E22&gt;20),0.25+0.0875*E22-0.0025*E22^2))</f>
        <v>0.8931249999999997</v>
      </c>
      <c r="Y22" s="1">
        <f>IF(AND(E22&gt;=15,E22&lt;=20),0.25+0.0875*E22-0.0025*E22^2,IF(OR(E22&lt;15,E22&gt;20),-0.5+0.175*E22-0.005*E22^2))</f>
        <v>0.7862499999999994</v>
      </c>
      <c r="Z22" s="1">
        <f>IF(AND(E22&gt;=16.5,E22&lt;=37),0.583+0.014*E22+0.0013*E22^2-0.000037*E22^3,IF(OR(E22&lt;16.5,E22&gt;37),-0.0425+0.035*E22+0.0025*E22^2-0.00000925*E22^3))</f>
        <v>1.162198375</v>
      </c>
      <c r="AA22" s="1">
        <f>IF(AND(E22&gt;=16.5,E22&lt;=37),-0.0425+0.035*E22+0.00325*E22^2-0.0000925*E22^3,IF(OR(E22&lt;16.5,E22&gt;37),-1.085+0.07*E22+0.0065*E22^2+0.000185*E22^3))</f>
        <v>1.4054959375</v>
      </c>
      <c r="AB22" s="1">
        <f>IF($E22&gt;=16.5,-1.064+0.173*$E22-0.0029*$E22^2,IF($E22&lt;16.5,-4.16+0.4325*$E22-0.00725*$E22^2))</f>
        <v>1.4337749999999994</v>
      </c>
      <c r="AC22" s="1">
        <f>IF($E22&gt;=16.5,-4.16+0.4325*$E22-0.00725*$E22^2,IF($E22&lt;16.5,-9.32+0.865*$E22-0.0145*$E22^2))</f>
        <v>2.084437499999999</v>
      </c>
      <c r="AI22" s="234">
        <f aca="true" t="shared" si="8" ref="AI22:AI53">23.45*SIN(RADIANS((360/365)*(D22-81)))</f>
        <v>-23.011636727869238</v>
      </c>
      <c r="AJ22" s="235">
        <f>ACOS(-TAN(RADIANS($L$11))*TAN(RADIANS(AI22)))*180/PI()</f>
        <v>100.2437473698434</v>
      </c>
      <c r="AK22" s="236">
        <f>2*AJ22/15</f>
        <v>13.365832982645788</v>
      </c>
      <c r="AL22" s="548">
        <f>(37.76*(PI()/180*SIN(RADIANS($H$11))*SIN(RADIANS(AI22))*AJ22+COS(RADIANS($H$11))*COS(RADIANS(AI22))*SIN(RADIANS(AJ22))))*23.8891</f>
        <v>991.9227919513247</v>
      </c>
      <c r="AM22" s="239"/>
      <c r="AN22" s="239"/>
    </row>
    <row r="23" spans="1:40" ht="12.75">
      <c r="A23" s="239"/>
      <c r="B23" s="633" t="s">
        <v>93</v>
      </c>
      <c r="C23" s="109">
        <v>10</v>
      </c>
      <c r="D23" s="233">
        <f aca="true" t="shared" si="9" ref="D23:D86">IF(D22+C22&gt;365,((D22+C22)-365),D22+C22)</f>
        <v>11</v>
      </c>
      <c r="E23" s="157">
        <v>24.5</v>
      </c>
      <c r="F23" s="109">
        <v>0</v>
      </c>
      <c r="G23" s="109">
        <v>8.62</v>
      </c>
      <c r="H23" s="73">
        <f t="shared" si="0"/>
        <v>13.291952333302426</v>
      </c>
      <c r="I23" s="73"/>
      <c r="J23" s="73" t="str">
        <f t="shared" si="1"/>
        <v>.</v>
      </c>
      <c r="K23" s="73" t="str">
        <f t="shared" si="2"/>
        <v>.</v>
      </c>
      <c r="L23" s="73" t="str">
        <f aca="true" t="shared" si="10" ref="L23:L86">IF(F23=0,".",IF($D$15=1,X23,IF($D$15=2,Z23,IF($D$15=3,AB23))))</f>
        <v>.</v>
      </c>
      <c r="M23" s="73" t="str">
        <f aca="true" t="shared" si="11" ref="M23:M86">IF(F23=0,".",IF($D$15=1,Y23,IF($D$15=2,AA23,IF($D$15=3,AC23))))</f>
        <v>.</v>
      </c>
      <c r="N23" s="73">
        <f t="shared" si="3"/>
        <v>566.8426658640878</v>
      </c>
      <c r="O23" s="73" t="str">
        <f t="shared" si="4"/>
        <v>.</v>
      </c>
      <c r="P23" s="73" t="str">
        <f t="shared" si="5"/>
        <v>.</v>
      </c>
      <c r="Q23" s="73" t="str">
        <f t="shared" si="6"/>
        <v>.</v>
      </c>
      <c r="R23" s="634" t="str">
        <f t="shared" si="7"/>
        <v>.</v>
      </c>
      <c r="T23" s="235"/>
      <c r="W23" s="222">
        <f aca="true" t="shared" si="12" ref="W23:W86">AL23</f>
        <v>987.0899329198032</v>
      </c>
      <c r="X23" s="1">
        <f aca="true" t="shared" si="13" ref="X23:X86">IF(AND(E23&gt;=15,E23&lt;=20),0.7+0.035*E23-0.001*E23^2,IF(OR(E23&lt;15,E23&gt;20),0.25+0.0875*E23-0.0025*E23^2))</f>
        <v>0.8931249999999997</v>
      </c>
      <c r="Y23" s="1">
        <f aca="true" t="shared" si="14" ref="Y23:Y86">IF(AND(E23&gt;=15,E23&lt;=20),0.25+0.0875*E23-0.0025*E23^2,IF(OR(E23&lt;15,E23&gt;20),-0.5+0.175*E23-0.005*E23^2))</f>
        <v>0.7862499999999994</v>
      </c>
      <c r="Z23" s="1">
        <f aca="true" t="shared" si="15" ref="Z23:Z86">IF(AND(E23&gt;=16.5,E23&lt;=37),0.583+0.014*E23+0.0013*E23^2-0.000037*E23^3,IF(OR(E23&lt;16.5,E23&gt;37),-0.0425+0.035*E23+0.0025*E23^2-0.00000925*E23^3))</f>
        <v>1.162198375</v>
      </c>
      <c r="AA23" s="1">
        <f aca="true" t="shared" si="16" ref="AA23:AA86">IF(AND(E23&gt;=16.5,E23&lt;=37),-0.0425+0.035*E23+0.00325*E23^2-0.0000925*E23^3,IF(OR(E23&lt;16.5,E23&gt;37),-1.085+0.07*E23+0.0065*E23^2+0.000185*E23^3))</f>
        <v>1.4054959375</v>
      </c>
      <c r="AB23" s="1">
        <f aca="true" t="shared" si="17" ref="AB23:AB86">IF($E23&gt;=16.5,-1.064+0.173*$E23-0.0029*$E23^2,IF($E23&lt;16.5,-4.16+0.4325*$E23-0.00725*$E23^2))</f>
        <v>1.4337749999999994</v>
      </c>
      <c r="AC23" s="1">
        <f aca="true" t="shared" si="18" ref="AC23:AC86">IF($E23&gt;=16.5,-4.16+0.4325*$E23-0.00725*$E23^2,IF($E23&lt;16.5,-9.32+0.865*$E23-0.0145*$E23^2))</f>
        <v>2.084437499999999</v>
      </c>
      <c r="AI23" s="234">
        <f t="shared" si="8"/>
        <v>-21.898483015897597</v>
      </c>
      <c r="AJ23" s="235">
        <f aca="true" t="shared" si="19" ref="AJ23:AJ86">ACOS(-TAN(RADIANS($L$11))*TAN(RADIANS(AI23)))*180/PI()</f>
        <v>99.6896424997682</v>
      </c>
      <c r="AK23" s="236">
        <f aca="true" t="shared" si="20" ref="AK23:AK86">2*AJ23/15</f>
        <v>13.291952333302426</v>
      </c>
      <c r="AL23" s="548">
        <f aca="true" t="shared" si="21" ref="AL23:AL86">(37.76*(PI()/180*SIN(RADIANS($H$11))*SIN(RADIANS(AI23))*AJ23+COS(RADIANS($H$11))*COS(RADIANS(AI23))*SIN(RADIANS(AJ23))))*23.8891</f>
        <v>987.0899329198032</v>
      </c>
      <c r="AM23" s="239"/>
      <c r="AN23" s="239"/>
    </row>
    <row r="24" spans="1:40" ht="12.75">
      <c r="A24" s="239"/>
      <c r="B24" s="633" t="s">
        <v>94</v>
      </c>
      <c r="C24" s="109">
        <v>10</v>
      </c>
      <c r="D24" s="233">
        <f t="shared" si="9"/>
        <v>21</v>
      </c>
      <c r="E24" s="157">
        <v>24.5</v>
      </c>
      <c r="F24" s="109">
        <v>0.15</v>
      </c>
      <c r="G24" s="109">
        <v>8.71</v>
      </c>
      <c r="H24" s="73">
        <f t="shared" si="0"/>
        <v>13.17765290728678</v>
      </c>
      <c r="I24" s="73"/>
      <c r="J24" s="73">
        <f t="shared" si="1"/>
        <v>96.6089461733709</v>
      </c>
      <c r="K24" s="73">
        <f t="shared" si="2"/>
        <v>290.32603241022764</v>
      </c>
      <c r="L24" s="73">
        <f t="shared" si="10"/>
        <v>0.8931249999999997</v>
      </c>
      <c r="M24" s="73">
        <f t="shared" si="11"/>
        <v>0.7862499999999994</v>
      </c>
      <c r="N24" s="73">
        <f t="shared" si="3"/>
        <v>568.1943283842393</v>
      </c>
      <c r="O24" s="73">
        <f t="shared" si="4"/>
        <v>0.3390325226138202</v>
      </c>
      <c r="P24" s="73">
        <f t="shared" si="5"/>
        <v>0.0733125</v>
      </c>
      <c r="Q24" s="73">
        <f t="shared" si="6"/>
        <v>0.5</v>
      </c>
      <c r="R24" s="634">
        <f t="shared" si="7"/>
        <v>56.73434123482014</v>
      </c>
      <c r="T24" s="235"/>
      <c r="W24" s="222">
        <f t="shared" si="12"/>
        <v>978.8290188171004</v>
      </c>
      <c r="X24" s="1">
        <f t="shared" si="13"/>
        <v>0.8931249999999997</v>
      </c>
      <c r="Y24" s="1">
        <f t="shared" si="14"/>
        <v>0.7862499999999994</v>
      </c>
      <c r="Z24" s="1">
        <f t="shared" si="15"/>
        <v>1.162198375</v>
      </c>
      <c r="AA24" s="1">
        <f t="shared" si="16"/>
        <v>1.4054959375</v>
      </c>
      <c r="AB24" s="1">
        <f t="shared" si="17"/>
        <v>1.4337749999999994</v>
      </c>
      <c r="AC24" s="1">
        <f t="shared" si="18"/>
        <v>2.084437499999999</v>
      </c>
      <c r="AI24" s="234">
        <f t="shared" si="8"/>
        <v>-20.138014821567577</v>
      </c>
      <c r="AJ24" s="235">
        <f t="shared" si="19"/>
        <v>98.83239680465084</v>
      </c>
      <c r="AK24" s="236">
        <f t="shared" si="20"/>
        <v>13.17765290728678</v>
      </c>
      <c r="AL24" s="548">
        <f t="shared" si="21"/>
        <v>978.8290188171004</v>
      </c>
      <c r="AM24" s="239"/>
      <c r="AN24" s="239"/>
    </row>
    <row r="25" spans="1:40" ht="12.75">
      <c r="A25" s="239"/>
      <c r="B25" s="633" t="s">
        <v>95</v>
      </c>
      <c r="C25" s="109">
        <v>10</v>
      </c>
      <c r="D25" s="233">
        <f t="shared" si="9"/>
        <v>31</v>
      </c>
      <c r="E25" s="157">
        <v>24.5</v>
      </c>
      <c r="F25" s="109">
        <v>0.16</v>
      </c>
      <c r="G25" s="109">
        <v>8.5</v>
      </c>
      <c r="H25" s="73">
        <f t="shared" si="0"/>
        <v>13.029033055621097</v>
      </c>
      <c r="I25" s="73"/>
      <c r="J25" s="73">
        <f t="shared" si="1"/>
        <v>97.41937735223527</v>
      </c>
      <c r="K25" s="73">
        <f t="shared" si="2"/>
        <v>285.68991127035065</v>
      </c>
      <c r="L25" s="73">
        <f t="shared" si="10"/>
        <v>0.8931249999999997</v>
      </c>
      <c r="M25" s="73">
        <f t="shared" si="11"/>
        <v>0.7862499999999994</v>
      </c>
      <c r="N25" s="73">
        <f t="shared" si="3"/>
        <v>556.9458156044182</v>
      </c>
      <c r="O25" s="73">
        <f t="shared" si="4"/>
        <v>0.3476108346863962</v>
      </c>
      <c r="P25" s="73">
        <f t="shared" si="5"/>
        <v>0.07690400000000001</v>
      </c>
      <c r="Q25" s="73">
        <f t="shared" si="6"/>
        <v>0.5</v>
      </c>
      <c r="R25" s="634">
        <f t="shared" si="7"/>
        <v>58.92527346446272</v>
      </c>
      <c r="T25" s="235"/>
      <c r="W25" s="222">
        <f t="shared" si="12"/>
        <v>966.5932870044895</v>
      </c>
      <c r="X25" s="1">
        <f t="shared" si="13"/>
        <v>0.8931249999999997</v>
      </c>
      <c r="Y25" s="1">
        <f t="shared" si="14"/>
        <v>0.7862499999999994</v>
      </c>
      <c r="Z25" s="1">
        <f t="shared" si="15"/>
        <v>1.162198375</v>
      </c>
      <c r="AA25" s="1">
        <f t="shared" si="16"/>
        <v>1.4054959375</v>
      </c>
      <c r="AB25" s="1">
        <f t="shared" si="17"/>
        <v>1.4337749999999994</v>
      </c>
      <c r="AC25" s="1">
        <f t="shared" si="18"/>
        <v>2.084437499999999</v>
      </c>
      <c r="AI25" s="234">
        <f t="shared" si="8"/>
        <v>-17.782271208822287</v>
      </c>
      <c r="AJ25" s="235">
        <f t="shared" si="19"/>
        <v>97.71774791715823</v>
      </c>
      <c r="AK25" s="236">
        <f t="shared" si="20"/>
        <v>13.029033055621097</v>
      </c>
      <c r="AL25" s="548">
        <f t="shared" si="21"/>
        <v>966.5932870044895</v>
      </c>
      <c r="AM25" s="239"/>
      <c r="AN25" s="239"/>
    </row>
    <row r="26" spans="1:40" ht="12.75">
      <c r="A26" s="239"/>
      <c r="B26" s="633" t="s">
        <v>96</v>
      </c>
      <c r="C26" s="109">
        <v>10</v>
      </c>
      <c r="D26" s="233">
        <f t="shared" si="9"/>
        <v>41</v>
      </c>
      <c r="E26" s="157">
        <v>24.5</v>
      </c>
      <c r="F26" s="109">
        <v>0.2</v>
      </c>
      <c r="G26" s="109">
        <v>8.2</v>
      </c>
      <c r="H26" s="73">
        <f t="shared" si="0"/>
        <v>12.852953542684475</v>
      </c>
      <c r="I26" s="73"/>
      <c r="J26" s="73">
        <f t="shared" si="1"/>
        <v>98.95335992079275</v>
      </c>
      <c r="K26" s="73">
        <f t="shared" si="2"/>
        <v>278.71650579579125</v>
      </c>
      <c r="L26" s="73">
        <f t="shared" si="10"/>
        <v>0.8931249999999997</v>
      </c>
      <c r="M26" s="73">
        <f t="shared" si="11"/>
        <v>0.7862499999999994</v>
      </c>
      <c r="N26" s="73">
        <f t="shared" si="3"/>
        <v>540.4289916725755</v>
      </c>
      <c r="O26" s="73">
        <f t="shared" si="4"/>
        <v>0.36201434380293085</v>
      </c>
      <c r="P26" s="73">
        <f t="shared" si="5"/>
        <v>0.09119999999999999</v>
      </c>
      <c r="Q26" s="73">
        <f t="shared" si="6"/>
        <v>0.5</v>
      </c>
      <c r="R26" s="634">
        <f t="shared" si="7"/>
        <v>68.88698350670492</v>
      </c>
      <c r="T26" s="239"/>
      <c r="W26" s="222">
        <f t="shared" si="12"/>
        <v>949.7993032330232</v>
      </c>
      <c r="X26" s="1">
        <f t="shared" si="13"/>
        <v>0.8931249999999997</v>
      </c>
      <c r="Y26" s="1">
        <f t="shared" si="14"/>
        <v>0.7862499999999994</v>
      </c>
      <c r="Z26" s="1">
        <f t="shared" si="15"/>
        <v>1.162198375</v>
      </c>
      <c r="AA26" s="1">
        <f t="shared" si="16"/>
        <v>1.4054959375</v>
      </c>
      <c r="AB26" s="1">
        <f t="shared" si="17"/>
        <v>1.4337749999999994</v>
      </c>
      <c r="AC26" s="1">
        <f t="shared" si="18"/>
        <v>2.084437499999999</v>
      </c>
      <c r="AI26" s="234">
        <f t="shared" si="8"/>
        <v>-14.90088745587466</v>
      </c>
      <c r="AJ26" s="235">
        <f t="shared" si="19"/>
        <v>96.39715157013356</v>
      </c>
      <c r="AK26" s="236">
        <f t="shared" si="20"/>
        <v>12.852953542684475</v>
      </c>
      <c r="AL26" s="548">
        <f t="shared" si="21"/>
        <v>949.7993032330232</v>
      </c>
      <c r="AM26" s="239"/>
      <c r="AN26" s="239"/>
    </row>
    <row r="27" spans="1:40" ht="12.75">
      <c r="A27" s="239"/>
      <c r="B27" s="633" t="s">
        <v>97</v>
      </c>
      <c r="C27" s="109">
        <v>10</v>
      </c>
      <c r="D27" s="233">
        <f t="shared" si="9"/>
        <v>51</v>
      </c>
      <c r="E27" s="157">
        <v>24.5</v>
      </c>
      <c r="F27" s="109">
        <v>0.25</v>
      </c>
      <c r="G27" s="109">
        <v>8</v>
      </c>
      <c r="H27" s="73">
        <f t="shared" si="0"/>
        <v>12.656202195715371</v>
      </c>
      <c r="I27" s="73"/>
      <c r="J27" s="73">
        <f t="shared" si="1"/>
        <v>98.47577875825377</v>
      </c>
      <c r="K27" s="73">
        <f t="shared" si="2"/>
        <v>273.2289860037065</v>
      </c>
      <c r="L27" s="73">
        <f t="shared" si="10"/>
        <v>0.8931249999999997</v>
      </c>
      <c r="M27" s="73">
        <f t="shared" si="11"/>
        <v>0.7862499999999994</v>
      </c>
      <c r="N27" s="73">
        <f t="shared" si="3"/>
        <v>525.2782407339488</v>
      </c>
      <c r="O27" s="73">
        <f t="shared" si="4"/>
        <v>0.3678988470405191</v>
      </c>
      <c r="P27" s="73">
        <f t="shared" si="5"/>
        <v>0.10891250000000001</v>
      </c>
      <c r="Q27" s="73">
        <f t="shared" si="6"/>
        <v>0.5</v>
      </c>
      <c r="R27" s="634">
        <f t="shared" si="7"/>
        <v>80.96659038427403</v>
      </c>
      <c r="T27" s="239"/>
      <c r="W27" s="222">
        <f t="shared" si="12"/>
        <v>927.9705075130314</v>
      </c>
      <c r="X27" s="1">
        <f t="shared" si="13"/>
        <v>0.8931249999999997</v>
      </c>
      <c r="Y27" s="1">
        <f t="shared" si="14"/>
        <v>0.7862499999999994</v>
      </c>
      <c r="Z27" s="1">
        <f t="shared" si="15"/>
        <v>1.162198375</v>
      </c>
      <c r="AA27" s="1">
        <f t="shared" si="16"/>
        <v>1.4054959375</v>
      </c>
      <c r="AB27" s="1">
        <f t="shared" si="17"/>
        <v>1.4337749999999994</v>
      </c>
      <c r="AC27" s="1">
        <f t="shared" si="18"/>
        <v>2.084437499999999</v>
      </c>
      <c r="AI27" s="234">
        <f t="shared" si="8"/>
        <v>-11.579036651251466</v>
      </c>
      <c r="AJ27" s="235">
        <f t="shared" si="19"/>
        <v>94.92151646786529</v>
      </c>
      <c r="AK27" s="236">
        <f t="shared" si="20"/>
        <v>12.656202195715371</v>
      </c>
      <c r="AL27" s="548">
        <f t="shared" si="21"/>
        <v>927.9705075130314</v>
      </c>
      <c r="AM27" s="239"/>
      <c r="AN27" s="239"/>
    </row>
    <row r="28" spans="1:40" ht="12.75">
      <c r="A28" s="239"/>
      <c r="B28" s="633" t="s">
        <v>98</v>
      </c>
      <c r="C28" s="109">
        <v>10</v>
      </c>
      <c r="D28" s="233">
        <f t="shared" si="9"/>
        <v>61</v>
      </c>
      <c r="E28" s="157">
        <v>24</v>
      </c>
      <c r="F28" s="109">
        <v>0.3</v>
      </c>
      <c r="G28" s="109">
        <v>7</v>
      </c>
      <c r="H28" s="73">
        <f t="shared" si="0"/>
        <v>12.444967489803776</v>
      </c>
      <c r="I28" s="73"/>
      <c r="J28" s="73">
        <f t="shared" si="1"/>
        <v>110.25191177751545</v>
      </c>
      <c r="K28" s="73">
        <f t="shared" si="2"/>
        <v>256.78579509784333</v>
      </c>
      <c r="L28" s="73">
        <f t="shared" si="10"/>
        <v>0.9099999999999997</v>
      </c>
      <c r="M28" s="73">
        <f t="shared" si="11"/>
        <v>0.8199999999999994</v>
      </c>
      <c r="N28" s="73">
        <f t="shared" si="3"/>
        <v>478.5849167996176</v>
      </c>
      <c r="O28" s="73">
        <f t="shared" si="4"/>
        <v>0.4375236411236</v>
      </c>
      <c r="P28" s="73">
        <f t="shared" si="5"/>
        <v>0.12645</v>
      </c>
      <c r="Q28" s="73">
        <f t="shared" si="6"/>
        <v>0.5</v>
      </c>
      <c r="R28" s="634">
        <f t="shared" si="7"/>
        <v>92.82383606877823</v>
      </c>
      <c r="T28" s="239"/>
      <c r="W28" s="222">
        <f t="shared" si="12"/>
        <v>900.8857708716178</v>
      </c>
      <c r="X28" s="1">
        <f t="shared" si="13"/>
        <v>0.9099999999999997</v>
      </c>
      <c r="Y28" s="1">
        <f t="shared" si="14"/>
        <v>0.8199999999999994</v>
      </c>
      <c r="Z28" s="1">
        <f t="shared" si="15"/>
        <v>1.156312</v>
      </c>
      <c r="AA28" s="1">
        <f t="shared" si="16"/>
        <v>1.3907800000000001</v>
      </c>
      <c r="AB28" s="1">
        <f t="shared" si="17"/>
        <v>1.4175999999999993</v>
      </c>
      <c r="AC28" s="1">
        <f t="shared" si="18"/>
        <v>2.0439999999999987</v>
      </c>
      <c r="AI28" s="234">
        <f t="shared" si="8"/>
        <v>-7.9149119954819565</v>
      </c>
      <c r="AJ28" s="235">
        <f t="shared" si="19"/>
        <v>93.33725617352832</v>
      </c>
      <c r="AK28" s="236">
        <f t="shared" si="20"/>
        <v>12.444967489803776</v>
      </c>
      <c r="AL28" s="548">
        <f t="shared" si="21"/>
        <v>900.8857708716178</v>
      </c>
      <c r="AM28" s="239"/>
      <c r="AN28" s="239"/>
    </row>
    <row r="29" spans="1:40" ht="12.75">
      <c r="A29" s="239"/>
      <c r="B29" s="633" t="s">
        <v>99</v>
      </c>
      <c r="C29" s="109">
        <v>10</v>
      </c>
      <c r="D29" s="233">
        <f t="shared" si="9"/>
        <v>71</v>
      </c>
      <c r="E29" s="157">
        <v>23.5</v>
      </c>
      <c r="F29" s="109">
        <v>0</v>
      </c>
      <c r="G29" s="109">
        <v>7</v>
      </c>
      <c r="H29" s="73">
        <f t="shared" si="0"/>
        <v>12.224656733386349</v>
      </c>
      <c r="I29" s="73"/>
      <c r="J29" s="73" t="str">
        <f t="shared" si="1"/>
        <v>.</v>
      </c>
      <c r="K29" s="73" t="str">
        <f t="shared" si="2"/>
        <v>.</v>
      </c>
      <c r="L29" s="73" t="str">
        <f t="shared" si="10"/>
        <v>.</v>
      </c>
      <c r="M29" s="73" t="str">
        <f t="shared" si="11"/>
        <v>.</v>
      </c>
      <c r="N29" s="73">
        <f t="shared" si="3"/>
        <v>465.8929981890649</v>
      </c>
      <c r="O29" s="73" t="str">
        <f t="shared" si="4"/>
        <v>.</v>
      </c>
      <c r="P29" s="73" t="str">
        <f t="shared" si="5"/>
        <v>.</v>
      </c>
      <c r="Q29" s="73" t="str">
        <f t="shared" si="6"/>
        <v>.</v>
      </c>
      <c r="R29" s="634" t="str">
        <f t="shared" si="7"/>
        <v>.</v>
      </c>
      <c r="T29" s="239"/>
      <c r="W29" s="222">
        <f t="shared" si="12"/>
        <v>868.7064292588085</v>
      </c>
      <c r="X29" s="1">
        <f t="shared" si="13"/>
        <v>0.9256249999999999</v>
      </c>
      <c r="Y29" s="1">
        <f t="shared" si="14"/>
        <v>0.8512499999999998</v>
      </c>
      <c r="Z29" s="1">
        <f t="shared" si="15"/>
        <v>1.149743625</v>
      </c>
      <c r="AA29" s="1">
        <f t="shared" si="16"/>
        <v>1.3743590625000002</v>
      </c>
      <c r="AB29" s="1">
        <f t="shared" si="17"/>
        <v>1.3999750000000002</v>
      </c>
      <c r="AC29" s="1">
        <f t="shared" si="18"/>
        <v>1.9999374999999997</v>
      </c>
      <c r="AI29" s="234">
        <f t="shared" si="8"/>
        <v>-4.016824231055649</v>
      </c>
      <c r="AJ29" s="235">
        <f t="shared" si="19"/>
        <v>91.68492550039761</v>
      </c>
      <c r="AK29" s="236">
        <f t="shared" si="20"/>
        <v>12.224656733386349</v>
      </c>
      <c r="AL29" s="548">
        <f t="shared" si="21"/>
        <v>868.7064292588085</v>
      </c>
      <c r="AM29" s="239"/>
      <c r="AN29" s="239"/>
    </row>
    <row r="30" spans="1:40" ht="12.75">
      <c r="A30" s="239"/>
      <c r="B30" s="633" t="s">
        <v>100</v>
      </c>
      <c r="C30" s="109">
        <v>11</v>
      </c>
      <c r="D30" s="233">
        <f t="shared" si="9"/>
        <v>81</v>
      </c>
      <c r="E30" s="157">
        <v>22</v>
      </c>
      <c r="F30" s="109">
        <v>0</v>
      </c>
      <c r="G30" s="109">
        <v>7</v>
      </c>
      <c r="H30" s="73">
        <f t="shared" si="0"/>
        <v>12</v>
      </c>
      <c r="I30" s="73"/>
      <c r="J30" s="73" t="str">
        <f t="shared" si="1"/>
        <v>.</v>
      </c>
      <c r="K30" s="73" t="str">
        <f t="shared" si="2"/>
        <v>.</v>
      </c>
      <c r="L30" s="73" t="str">
        <f t="shared" si="10"/>
        <v>.</v>
      </c>
      <c r="M30" s="73" t="str">
        <f t="shared" si="11"/>
        <v>.</v>
      </c>
      <c r="N30" s="73">
        <f t="shared" si="3"/>
        <v>450.69708087980104</v>
      </c>
      <c r="O30" s="73" t="str">
        <f t="shared" si="4"/>
        <v>.</v>
      </c>
      <c r="P30" s="73" t="str">
        <f t="shared" si="5"/>
        <v>.</v>
      </c>
      <c r="Q30" s="73" t="str">
        <f t="shared" si="6"/>
        <v>.</v>
      </c>
      <c r="R30" s="634" t="str">
        <f t="shared" si="7"/>
        <v>.</v>
      </c>
      <c r="T30" s="239"/>
      <c r="W30" s="222">
        <f t="shared" si="12"/>
        <v>832.0561493165557</v>
      </c>
      <c r="X30" s="1">
        <f t="shared" si="13"/>
        <v>0.9649999999999999</v>
      </c>
      <c r="Y30" s="1">
        <f t="shared" si="14"/>
        <v>0.9299999999999997</v>
      </c>
      <c r="Z30" s="1">
        <f t="shared" si="15"/>
        <v>1.1262240000000001</v>
      </c>
      <c r="AA30" s="1">
        <f t="shared" si="16"/>
        <v>1.31556</v>
      </c>
      <c r="AB30" s="1">
        <f t="shared" si="17"/>
        <v>1.3383999999999996</v>
      </c>
      <c r="AC30" s="1">
        <f t="shared" si="18"/>
        <v>1.846</v>
      </c>
      <c r="AI30" s="234">
        <f t="shared" si="8"/>
        <v>0</v>
      </c>
      <c r="AJ30" s="235">
        <f t="shared" si="19"/>
        <v>90</v>
      </c>
      <c r="AK30" s="236">
        <f t="shared" si="20"/>
        <v>12</v>
      </c>
      <c r="AL30" s="548">
        <f t="shared" si="21"/>
        <v>832.0561493165557</v>
      </c>
      <c r="AM30" s="239"/>
      <c r="AN30" s="239"/>
    </row>
    <row r="31" spans="1:40" ht="12.75">
      <c r="A31" s="239"/>
      <c r="B31" s="633" t="s">
        <v>101</v>
      </c>
      <c r="C31" s="109">
        <v>10</v>
      </c>
      <c r="D31" s="233">
        <f t="shared" si="9"/>
        <v>92</v>
      </c>
      <c r="E31" s="157">
        <v>21.8</v>
      </c>
      <c r="F31" s="109">
        <v>0</v>
      </c>
      <c r="G31" s="109">
        <v>7</v>
      </c>
      <c r="H31" s="73">
        <f t="shared" si="0"/>
        <v>11.7530427621432</v>
      </c>
      <c r="I31" s="73"/>
      <c r="J31" s="73" t="str">
        <f t="shared" si="1"/>
        <v>.</v>
      </c>
      <c r="K31" s="73" t="str">
        <f t="shared" si="2"/>
        <v>.</v>
      </c>
      <c r="L31" s="73" t="str">
        <f t="shared" si="10"/>
        <v>.</v>
      </c>
      <c r="M31" s="73" t="str">
        <f t="shared" si="11"/>
        <v>.</v>
      </c>
      <c r="N31" s="73">
        <f t="shared" si="3"/>
        <v>431.6099066252119</v>
      </c>
      <c r="O31" s="73" t="str">
        <f t="shared" si="4"/>
        <v>.</v>
      </c>
      <c r="P31" s="73" t="str">
        <f t="shared" si="5"/>
        <v>.</v>
      </c>
      <c r="Q31" s="73" t="str">
        <f t="shared" si="6"/>
        <v>.</v>
      </c>
      <c r="R31" s="634" t="str">
        <f t="shared" si="7"/>
        <v>.</v>
      </c>
      <c r="T31" s="239"/>
      <c r="W31" s="222">
        <f t="shared" si="12"/>
        <v>787.9037418580501</v>
      </c>
      <c r="X31" s="1">
        <f t="shared" si="13"/>
        <v>0.9693999999999996</v>
      </c>
      <c r="Y31" s="1">
        <f t="shared" si="14"/>
        <v>0.9387999999999996</v>
      </c>
      <c r="Z31" s="1">
        <f t="shared" si="15"/>
        <v>1.122683416</v>
      </c>
      <c r="AA31" s="1">
        <f t="shared" si="16"/>
        <v>1.3067085400000003</v>
      </c>
      <c r="AB31" s="1">
        <f t="shared" si="17"/>
        <v>1.3292039999999998</v>
      </c>
      <c r="AC31" s="1">
        <f t="shared" si="18"/>
        <v>1.8230099999999991</v>
      </c>
      <c r="AI31" s="234">
        <f t="shared" si="8"/>
        <v>4.413916345824076</v>
      </c>
      <c r="AJ31" s="235">
        <f t="shared" si="19"/>
        <v>88.14782071607401</v>
      </c>
      <c r="AK31" s="236">
        <f t="shared" si="20"/>
        <v>11.7530427621432</v>
      </c>
      <c r="AL31" s="548">
        <f t="shared" si="21"/>
        <v>787.9037418580501</v>
      </c>
      <c r="AM31" s="239"/>
      <c r="AN31" s="239"/>
    </row>
    <row r="32" spans="1:40" ht="12.75">
      <c r="A32" s="239"/>
      <c r="B32" s="633" t="s">
        <v>102</v>
      </c>
      <c r="C32" s="109">
        <v>10</v>
      </c>
      <c r="D32" s="233">
        <f t="shared" si="9"/>
        <v>102</v>
      </c>
      <c r="E32" s="157">
        <v>21</v>
      </c>
      <c r="F32" s="109">
        <v>0</v>
      </c>
      <c r="G32" s="109">
        <v>7</v>
      </c>
      <c r="H32" s="73">
        <f t="shared" si="0"/>
        <v>11.533417419692752</v>
      </c>
      <c r="I32" s="73"/>
      <c r="J32" s="73" t="str">
        <f t="shared" si="1"/>
        <v>.</v>
      </c>
      <c r="K32" s="73" t="str">
        <f t="shared" si="2"/>
        <v>.</v>
      </c>
      <c r="L32" s="73" t="str">
        <f t="shared" si="10"/>
        <v>.</v>
      </c>
      <c r="M32" s="73" t="str">
        <f t="shared" si="11"/>
        <v>.</v>
      </c>
      <c r="N32" s="73">
        <f t="shared" si="3"/>
        <v>412.85642460260283</v>
      </c>
      <c r="O32" s="73" t="str">
        <f t="shared" si="4"/>
        <v>.</v>
      </c>
      <c r="P32" s="73" t="str">
        <f t="shared" si="5"/>
        <v>.</v>
      </c>
      <c r="Q32" s="73" t="str">
        <f t="shared" si="6"/>
        <v>.</v>
      </c>
      <c r="R32" s="634" t="str">
        <f t="shared" si="7"/>
        <v>.</v>
      </c>
      <c r="T32" s="239"/>
      <c r="W32" s="222">
        <f t="shared" si="12"/>
        <v>745.9472268951022</v>
      </c>
      <c r="X32" s="1">
        <f t="shared" si="13"/>
        <v>0.9849999999999999</v>
      </c>
      <c r="Y32" s="1">
        <f t="shared" si="14"/>
        <v>0.9699999999999998</v>
      </c>
      <c r="Z32" s="1">
        <f t="shared" si="15"/>
        <v>1.107643</v>
      </c>
      <c r="AA32" s="1">
        <f t="shared" si="16"/>
        <v>1.2691075</v>
      </c>
      <c r="AB32" s="1">
        <f t="shared" si="17"/>
        <v>1.2900999999999996</v>
      </c>
      <c r="AC32" s="1">
        <f t="shared" si="18"/>
        <v>1.725249999999999</v>
      </c>
      <c r="AI32" s="234">
        <f t="shared" si="8"/>
        <v>8.293705065035914</v>
      </c>
      <c r="AJ32" s="235">
        <f t="shared" si="19"/>
        <v>86.50063064769564</v>
      </c>
      <c r="AK32" s="236">
        <f t="shared" si="20"/>
        <v>11.533417419692752</v>
      </c>
      <c r="AL32" s="548">
        <f t="shared" si="21"/>
        <v>745.9472268951022</v>
      </c>
      <c r="AM32" s="239"/>
      <c r="AN32" s="239"/>
    </row>
    <row r="33" spans="1:40" ht="12.75">
      <c r="A33" s="239"/>
      <c r="B33" s="633" t="s">
        <v>103</v>
      </c>
      <c r="C33" s="109">
        <v>10</v>
      </c>
      <c r="D33" s="233">
        <f t="shared" si="9"/>
        <v>112</v>
      </c>
      <c r="E33" s="157">
        <v>21.2</v>
      </c>
      <c r="F33" s="109">
        <v>0</v>
      </c>
      <c r="G33" s="109">
        <v>7</v>
      </c>
      <c r="H33" s="73">
        <f t="shared" si="0"/>
        <v>11.323374849501384</v>
      </c>
      <c r="I33" s="73"/>
      <c r="J33" s="73" t="str">
        <f t="shared" si="1"/>
        <v>.</v>
      </c>
      <c r="K33" s="73" t="str">
        <f t="shared" si="2"/>
        <v>.</v>
      </c>
      <c r="L33" s="73" t="str">
        <f t="shared" si="10"/>
        <v>.</v>
      </c>
      <c r="M33" s="73" t="str">
        <f t="shared" si="11"/>
        <v>.</v>
      </c>
      <c r="N33" s="73">
        <f t="shared" si="3"/>
        <v>393.69453859173905</v>
      </c>
      <c r="O33" s="73" t="str">
        <f t="shared" si="4"/>
        <v>.</v>
      </c>
      <c r="P33" s="73" t="str">
        <f t="shared" si="5"/>
        <v>.</v>
      </c>
      <c r="Q33" s="73" t="str">
        <f t="shared" si="6"/>
        <v>.</v>
      </c>
      <c r="R33" s="634" t="str">
        <f t="shared" si="7"/>
        <v>.</v>
      </c>
      <c r="T33" s="239"/>
      <c r="W33" s="222">
        <f t="shared" si="12"/>
        <v>704.1637796177909</v>
      </c>
      <c r="X33" s="1">
        <f t="shared" si="13"/>
        <v>0.9813999999999996</v>
      </c>
      <c r="Y33" s="1">
        <f t="shared" si="14"/>
        <v>0.9627999999999997</v>
      </c>
      <c r="Z33" s="1">
        <f t="shared" si="15"/>
        <v>1.111531264</v>
      </c>
      <c r="AA33" s="1">
        <f t="shared" si="16"/>
        <v>1.2788281600000002</v>
      </c>
      <c r="AB33" s="1">
        <f t="shared" si="17"/>
        <v>1.3002239999999998</v>
      </c>
      <c r="AC33" s="1">
        <f t="shared" si="18"/>
        <v>1.7505600000000001</v>
      </c>
      <c r="AI33" s="234">
        <f t="shared" si="8"/>
        <v>11.928333633331848</v>
      </c>
      <c r="AJ33" s="235">
        <f t="shared" si="19"/>
        <v>84.92531137126038</v>
      </c>
      <c r="AK33" s="236">
        <f t="shared" si="20"/>
        <v>11.323374849501384</v>
      </c>
      <c r="AL33" s="548">
        <f t="shared" si="21"/>
        <v>704.1637796177909</v>
      </c>
      <c r="AM33" s="239"/>
      <c r="AN33" s="239"/>
    </row>
    <row r="34" spans="1:40" ht="12.75">
      <c r="A34" s="239"/>
      <c r="B34" s="633" t="s">
        <v>98</v>
      </c>
      <c r="C34" s="109">
        <v>10</v>
      </c>
      <c r="D34" s="233">
        <f t="shared" si="9"/>
        <v>122</v>
      </c>
      <c r="E34" s="157">
        <v>20</v>
      </c>
      <c r="F34" s="109">
        <v>0</v>
      </c>
      <c r="G34" s="109">
        <v>7</v>
      </c>
      <c r="H34" s="73">
        <f t="shared" si="0"/>
        <v>11.12839980414336</v>
      </c>
      <c r="I34" s="73"/>
      <c r="J34" s="73" t="str">
        <f t="shared" si="1"/>
        <v>.</v>
      </c>
      <c r="K34" s="73" t="str">
        <f t="shared" si="2"/>
        <v>.</v>
      </c>
      <c r="L34" s="73" t="str">
        <f t="shared" si="10"/>
        <v>.</v>
      </c>
      <c r="M34" s="73" t="str">
        <f t="shared" si="11"/>
        <v>.</v>
      </c>
      <c r="N34" s="73">
        <f t="shared" si="3"/>
        <v>375.13731627493394</v>
      </c>
      <c r="O34" s="73" t="str">
        <f t="shared" si="4"/>
        <v>.</v>
      </c>
      <c r="P34" s="73" t="str">
        <f t="shared" si="5"/>
        <v>.</v>
      </c>
      <c r="Q34" s="73" t="str">
        <f t="shared" si="6"/>
        <v>.</v>
      </c>
      <c r="R34" s="634" t="str">
        <f t="shared" si="7"/>
        <v>.</v>
      </c>
      <c r="T34" s="239"/>
      <c r="W34" s="222">
        <f t="shared" si="12"/>
        <v>664.5354371148596</v>
      </c>
      <c r="X34" s="1">
        <f t="shared" si="13"/>
        <v>0.9999999999999999</v>
      </c>
      <c r="Y34" s="1">
        <f t="shared" si="14"/>
        <v>1</v>
      </c>
      <c r="Z34" s="1">
        <f t="shared" si="15"/>
        <v>1.087</v>
      </c>
      <c r="AA34" s="1">
        <f t="shared" si="16"/>
        <v>1.2175</v>
      </c>
      <c r="AB34" s="1">
        <f t="shared" si="17"/>
        <v>1.236</v>
      </c>
      <c r="AC34" s="1">
        <f t="shared" si="18"/>
        <v>1.5899999999999999</v>
      </c>
      <c r="AI34" s="234">
        <f t="shared" si="8"/>
        <v>15.210363206270312</v>
      </c>
      <c r="AJ34" s="235">
        <f t="shared" si="19"/>
        <v>83.4629985310752</v>
      </c>
      <c r="AK34" s="236">
        <f t="shared" si="20"/>
        <v>11.12839980414336</v>
      </c>
      <c r="AL34" s="548">
        <f t="shared" si="21"/>
        <v>664.5354371148596</v>
      </c>
      <c r="AM34" s="239"/>
      <c r="AN34" s="239"/>
    </row>
    <row r="35" spans="1:40" ht="12.75">
      <c r="A35" s="239"/>
      <c r="B35" s="633" t="s">
        <v>99</v>
      </c>
      <c r="C35" s="109">
        <v>10</v>
      </c>
      <c r="D35" s="233">
        <f t="shared" si="9"/>
        <v>132</v>
      </c>
      <c r="E35" s="157">
        <v>19</v>
      </c>
      <c r="F35" s="109">
        <v>0</v>
      </c>
      <c r="G35" s="109">
        <v>7</v>
      </c>
      <c r="H35" s="73">
        <f t="shared" si="0"/>
        <v>10.95475431371152</v>
      </c>
      <c r="I35" s="73"/>
      <c r="J35" s="73" t="str">
        <f t="shared" si="1"/>
        <v>.</v>
      </c>
      <c r="K35" s="73" t="str">
        <f t="shared" si="2"/>
        <v>.</v>
      </c>
      <c r="L35" s="73" t="str">
        <f t="shared" si="10"/>
        <v>.</v>
      </c>
      <c r="M35" s="73" t="str">
        <f t="shared" si="11"/>
        <v>.</v>
      </c>
      <c r="N35" s="73">
        <f t="shared" si="3"/>
        <v>358.21807356132615</v>
      </c>
      <c r="O35" s="73" t="str">
        <f t="shared" si="4"/>
        <v>.</v>
      </c>
      <c r="P35" s="73" t="str">
        <f t="shared" si="5"/>
        <v>.</v>
      </c>
      <c r="Q35" s="73" t="str">
        <f t="shared" si="6"/>
        <v>.</v>
      </c>
      <c r="R35" s="634" t="str">
        <f t="shared" si="7"/>
        <v>.</v>
      </c>
      <c r="T35" s="239"/>
      <c r="W35" s="222">
        <f t="shared" si="12"/>
        <v>629.0089555302416</v>
      </c>
      <c r="X35" s="1">
        <f t="shared" si="13"/>
        <v>1.004</v>
      </c>
      <c r="Y35" s="1">
        <f t="shared" si="14"/>
        <v>1.0099999999999998</v>
      </c>
      <c r="Z35" s="1">
        <f t="shared" si="15"/>
        <v>1.064517</v>
      </c>
      <c r="AA35" s="1">
        <f t="shared" si="16"/>
        <v>1.1612925</v>
      </c>
      <c r="AB35" s="1">
        <f t="shared" si="17"/>
        <v>1.1761</v>
      </c>
      <c r="AC35" s="1">
        <f t="shared" si="18"/>
        <v>1.440249999999999</v>
      </c>
      <c r="AI35" s="234">
        <f t="shared" si="8"/>
        <v>18.04277769042834</v>
      </c>
      <c r="AJ35" s="235">
        <f t="shared" si="19"/>
        <v>82.1606573528364</v>
      </c>
      <c r="AK35" s="236">
        <f t="shared" si="20"/>
        <v>10.95475431371152</v>
      </c>
      <c r="AL35" s="548">
        <f t="shared" si="21"/>
        <v>629.0089555302416</v>
      </c>
      <c r="AM35" s="239"/>
      <c r="AN35" s="239"/>
    </row>
    <row r="36" spans="1:40" ht="12.75">
      <c r="A36" s="239"/>
      <c r="B36" s="633" t="s">
        <v>100</v>
      </c>
      <c r="C36" s="109">
        <v>11</v>
      </c>
      <c r="D36" s="233">
        <f t="shared" si="9"/>
        <v>142</v>
      </c>
      <c r="E36" s="157">
        <v>18.6</v>
      </c>
      <c r="F36" s="109">
        <v>0</v>
      </c>
      <c r="G36" s="109">
        <v>7</v>
      </c>
      <c r="H36" s="73">
        <f t="shared" si="0"/>
        <v>10.809262977837777</v>
      </c>
      <c r="I36" s="73"/>
      <c r="J36" s="73" t="str">
        <f t="shared" si="1"/>
        <v>.</v>
      </c>
      <c r="K36" s="73" t="str">
        <f t="shared" si="2"/>
        <v>.</v>
      </c>
      <c r="L36" s="73" t="str">
        <f t="shared" si="10"/>
        <v>.</v>
      </c>
      <c r="M36" s="73" t="str">
        <f t="shared" si="11"/>
        <v>.</v>
      </c>
      <c r="N36" s="73">
        <f t="shared" si="3"/>
        <v>343.9019529055185</v>
      </c>
      <c r="O36" s="73" t="str">
        <f t="shared" si="4"/>
        <v>.</v>
      </c>
      <c r="P36" s="73" t="str">
        <f t="shared" si="5"/>
        <v>.</v>
      </c>
      <c r="Q36" s="73" t="str">
        <f t="shared" si="6"/>
        <v>.</v>
      </c>
      <c r="R36" s="634" t="str">
        <f t="shared" si="7"/>
        <v>.</v>
      </c>
      <c r="T36" s="239"/>
      <c r="W36" s="222">
        <f t="shared" si="12"/>
        <v>599.3449544822731</v>
      </c>
      <c r="X36" s="1">
        <f t="shared" si="13"/>
        <v>1.00504</v>
      </c>
      <c r="Y36" s="1">
        <f t="shared" si="14"/>
        <v>1.0126</v>
      </c>
      <c r="Z36" s="1">
        <f t="shared" si="15"/>
        <v>1.0550583279999999</v>
      </c>
      <c r="AA36" s="1">
        <f t="shared" si="16"/>
        <v>1.13764582</v>
      </c>
      <c r="AB36" s="1">
        <f t="shared" si="17"/>
        <v>1.1505159999999999</v>
      </c>
      <c r="AC36" s="1">
        <f t="shared" si="18"/>
        <v>1.3762900000000005</v>
      </c>
      <c r="AI36" s="234">
        <f t="shared" si="8"/>
        <v>20.341851518409044</v>
      </c>
      <c r="AJ36" s="235">
        <f t="shared" si="19"/>
        <v>81.06947233378332</v>
      </c>
      <c r="AK36" s="236">
        <f t="shared" si="20"/>
        <v>10.809262977837777</v>
      </c>
      <c r="AL36" s="548">
        <f t="shared" si="21"/>
        <v>599.3449544822731</v>
      </c>
      <c r="AM36" s="239"/>
      <c r="AN36" s="239"/>
    </row>
    <row r="37" spans="1:40" ht="12.75">
      <c r="A37" s="239"/>
      <c r="B37" s="633" t="s">
        <v>92</v>
      </c>
      <c r="C37" s="109">
        <v>10</v>
      </c>
      <c r="D37" s="233">
        <f t="shared" si="9"/>
        <v>153</v>
      </c>
      <c r="E37" s="157">
        <v>18</v>
      </c>
      <c r="F37" s="109">
        <v>0</v>
      </c>
      <c r="G37" s="109">
        <v>7</v>
      </c>
      <c r="H37" s="73">
        <f t="shared" si="0"/>
        <v>10.689867319806064</v>
      </c>
      <c r="I37" s="73"/>
      <c r="J37" s="73" t="str">
        <f t="shared" si="1"/>
        <v>.</v>
      </c>
      <c r="K37" s="73" t="str">
        <f t="shared" si="2"/>
        <v>.</v>
      </c>
      <c r="L37" s="73" t="str">
        <f t="shared" si="10"/>
        <v>.</v>
      </c>
      <c r="M37" s="73" t="str">
        <f t="shared" si="11"/>
        <v>.</v>
      </c>
      <c r="N37" s="73">
        <f t="shared" si="3"/>
        <v>332.1366029072125</v>
      </c>
      <c r="O37" s="73" t="str">
        <f t="shared" si="4"/>
        <v>.</v>
      </c>
      <c r="P37" s="73" t="str">
        <f t="shared" si="5"/>
        <v>.</v>
      </c>
      <c r="Q37" s="73" t="str">
        <f t="shared" si="6"/>
        <v>.</v>
      </c>
      <c r="R37" s="634" t="str">
        <f t="shared" si="7"/>
        <v>.</v>
      </c>
      <c r="T37" s="239"/>
      <c r="W37" s="222">
        <f t="shared" si="12"/>
        <v>575.2151149522019</v>
      </c>
      <c r="X37" s="1">
        <f t="shared" si="13"/>
        <v>1.006</v>
      </c>
      <c r="Y37" s="1">
        <f t="shared" si="14"/>
        <v>1.015</v>
      </c>
      <c r="Z37" s="1">
        <f t="shared" si="15"/>
        <v>1.040416</v>
      </c>
      <c r="AA37" s="1">
        <f t="shared" si="16"/>
        <v>1.1010400000000002</v>
      </c>
      <c r="AB37" s="1">
        <f t="shared" si="17"/>
        <v>1.1103999999999998</v>
      </c>
      <c r="AC37" s="1">
        <f t="shared" si="18"/>
        <v>1.2759999999999998</v>
      </c>
      <c r="AI37" s="234">
        <f t="shared" si="8"/>
        <v>22.174235285166493</v>
      </c>
      <c r="AJ37" s="235">
        <f t="shared" si="19"/>
        <v>80.17400489854548</v>
      </c>
      <c r="AK37" s="236">
        <f t="shared" si="20"/>
        <v>10.689867319806064</v>
      </c>
      <c r="AL37" s="548">
        <f t="shared" si="21"/>
        <v>575.2151149522019</v>
      </c>
      <c r="AM37" s="239"/>
      <c r="AN37" s="239"/>
    </row>
    <row r="38" spans="1:40" ht="12.75">
      <c r="A38" s="239"/>
      <c r="B38" s="633" t="s">
        <v>93</v>
      </c>
      <c r="C38" s="109">
        <v>10</v>
      </c>
      <c r="D38" s="233">
        <f t="shared" si="9"/>
        <v>163</v>
      </c>
      <c r="E38" s="157">
        <v>17.5</v>
      </c>
      <c r="F38" s="109">
        <v>0</v>
      </c>
      <c r="G38" s="109">
        <v>7</v>
      </c>
      <c r="H38" s="73">
        <f t="shared" si="0"/>
        <v>10.624666167145072</v>
      </c>
      <c r="I38" s="73"/>
      <c r="J38" s="73" t="str">
        <f t="shared" si="1"/>
        <v>.</v>
      </c>
      <c r="K38" s="73" t="str">
        <f t="shared" si="2"/>
        <v>.</v>
      </c>
      <c r="L38" s="73" t="str">
        <f t="shared" si="10"/>
        <v>.</v>
      </c>
      <c r="M38" s="73" t="str">
        <f t="shared" si="11"/>
        <v>.</v>
      </c>
      <c r="N38" s="73">
        <f t="shared" si="3"/>
        <v>325.7259712717067</v>
      </c>
      <c r="O38" s="73" t="str">
        <f t="shared" si="4"/>
        <v>.</v>
      </c>
      <c r="P38" s="73" t="str">
        <f t="shared" si="5"/>
        <v>.</v>
      </c>
      <c r="Q38" s="73" t="str">
        <f t="shared" si="6"/>
        <v>.</v>
      </c>
      <c r="R38" s="634" t="str">
        <f t="shared" si="7"/>
        <v>.</v>
      </c>
      <c r="T38" s="239"/>
      <c r="W38" s="222">
        <f t="shared" si="12"/>
        <v>562.1566088637375</v>
      </c>
      <c r="X38" s="1">
        <f t="shared" si="13"/>
        <v>1.00625</v>
      </c>
      <c r="Y38" s="1">
        <f t="shared" si="14"/>
        <v>1.015625</v>
      </c>
      <c r="Z38" s="1">
        <f t="shared" si="15"/>
        <v>1.0278281249999999</v>
      </c>
      <c r="AA38" s="1">
        <f t="shared" si="16"/>
        <v>1.0695703125000002</v>
      </c>
      <c r="AB38" s="1">
        <f t="shared" si="17"/>
        <v>1.0753749999999997</v>
      </c>
      <c r="AC38" s="1">
        <f t="shared" si="18"/>
        <v>1.1884374999999996</v>
      </c>
      <c r="AI38" s="234">
        <f t="shared" si="8"/>
        <v>23.15334442413898</v>
      </c>
      <c r="AJ38" s="235">
        <f t="shared" si="19"/>
        <v>79.68499625358804</v>
      </c>
      <c r="AK38" s="236">
        <f t="shared" si="20"/>
        <v>10.624666167145072</v>
      </c>
      <c r="AL38" s="548">
        <f t="shared" si="21"/>
        <v>562.1566088637375</v>
      </c>
      <c r="AM38" s="239"/>
      <c r="AN38" s="239"/>
    </row>
    <row r="39" spans="1:40" ht="12.75">
      <c r="A39" s="239"/>
      <c r="B39" s="633" t="s">
        <v>94</v>
      </c>
      <c r="C39" s="109">
        <v>10</v>
      </c>
      <c r="D39" s="233">
        <f t="shared" si="9"/>
        <v>173</v>
      </c>
      <c r="E39" s="157">
        <v>17</v>
      </c>
      <c r="F39" s="109">
        <v>0</v>
      </c>
      <c r="G39" s="109">
        <v>7</v>
      </c>
      <c r="H39" s="73">
        <f t="shared" si="0"/>
        <v>10.604836225140645</v>
      </c>
      <c r="I39" s="73"/>
      <c r="J39" s="73" t="str">
        <f t="shared" si="1"/>
        <v>.</v>
      </c>
      <c r="K39" s="73" t="str">
        <f t="shared" si="2"/>
        <v>.</v>
      </c>
      <c r="L39" s="73" t="str">
        <f t="shared" si="10"/>
        <v>.</v>
      </c>
      <c r="M39" s="73" t="str">
        <f t="shared" si="11"/>
        <v>.</v>
      </c>
      <c r="N39" s="73">
        <f t="shared" si="3"/>
        <v>323.7799777398559</v>
      </c>
      <c r="O39" s="73" t="str">
        <f t="shared" si="4"/>
        <v>.</v>
      </c>
      <c r="P39" s="73" t="str">
        <f t="shared" si="5"/>
        <v>.</v>
      </c>
      <c r="Q39" s="73" t="str">
        <f t="shared" si="6"/>
        <v>.</v>
      </c>
      <c r="R39" s="634" t="str">
        <f t="shared" si="7"/>
        <v>.</v>
      </c>
      <c r="T39" s="239"/>
      <c r="W39" s="222">
        <f t="shared" si="12"/>
        <v>558.2046725273382</v>
      </c>
      <c r="X39" s="1">
        <f t="shared" si="13"/>
        <v>1.006</v>
      </c>
      <c r="Y39" s="1">
        <f t="shared" si="14"/>
        <v>1.0149999999999997</v>
      </c>
      <c r="Z39" s="1">
        <f t="shared" si="15"/>
        <v>1.014919</v>
      </c>
      <c r="AA39" s="1">
        <f t="shared" si="16"/>
        <v>1.0372975000000002</v>
      </c>
      <c r="AB39" s="1">
        <f t="shared" si="17"/>
        <v>1.0389</v>
      </c>
      <c r="AC39" s="1">
        <f t="shared" si="18"/>
        <v>1.0972499999999998</v>
      </c>
      <c r="AI39" s="234">
        <f t="shared" si="8"/>
        <v>23.448045645453604</v>
      </c>
      <c r="AJ39" s="235">
        <f t="shared" si="19"/>
        <v>79.53627168855483</v>
      </c>
      <c r="AK39" s="236">
        <f t="shared" si="20"/>
        <v>10.604836225140645</v>
      </c>
      <c r="AL39" s="548">
        <f t="shared" si="21"/>
        <v>558.2046725273382</v>
      </c>
      <c r="AM39" s="239"/>
      <c r="AN39" s="239"/>
    </row>
    <row r="40" spans="1:40" ht="12.75">
      <c r="A40" s="239"/>
      <c r="B40" s="633" t="s">
        <v>92</v>
      </c>
      <c r="C40" s="109">
        <v>10</v>
      </c>
      <c r="D40" s="233">
        <f t="shared" si="9"/>
        <v>183</v>
      </c>
      <c r="E40" s="157">
        <v>17</v>
      </c>
      <c r="F40" s="109">
        <v>0</v>
      </c>
      <c r="G40" s="109">
        <v>7</v>
      </c>
      <c r="H40" s="73">
        <f t="shared" si="0"/>
        <v>10.631622074571265</v>
      </c>
      <c r="I40" s="73"/>
      <c r="J40" s="73" t="str">
        <f t="shared" si="1"/>
        <v>.</v>
      </c>
      <c r="K40" s="73" t="str">
        <f t="shared" si="2"/>
        <v>.</v>
      </c>
      <c r="L40" s="73" t="str">
        <f t="shared" si="10"/>
        <v>.</v>
      </c>
      <c r="M40" s="73" t="str">
        <f t="shared" si="11"/>
        <v>.</v>
      </c>
      <c r="N40" s="73">
        <f t="shared" si="3"/>
        <v>326.40904355940074</v>
      </c>
      <c r="O40" s="73" t="str">
        <f t="shared" si="4"/>
        <v>.</v>
      </c>
      <c r="P40" s="73" t="str">
        <f t="shared" si="5"/>
        <v>.</v>
      </c>
      <c r="Q40" s="73" t="str">
        <f t="shared" si="6"/>
        <v>.</v>
      </c>
      <c r="R40" s="634" t="str">
        <f t="shared" si="7"/>
        <v>.</v>
      </c>
      <c r="T40" s="239"/>
      <c r="W40" s="222">
        <f t="shared" si="12"/>
        <v>563.5451181152017</v>
      </c>
      <c r="X40" s="1">
        <f t="shared" si="13"/>
        <v>1.006</v>
      </c>
      <c r="Y40" s="1">
        <f t="shared" si="14"/>
        <v>1.0149999999999997</v>
      </c>
      <c r="Z40" s="1">
        <f t="shared" si="15"/>
        <v>1.014919</v>
      </c>
      <c r="AA40" s="1">
        <f t="shared" si="16"/>
        <v>1.0372975000000002</v>
      </c>
      <c r="AB40" s="1">
        <f t="shared" si="17"/>
        <v>1.0389</v>
      </c>
      <c r="AC40" s="1">
        <f t="shared" si="18"/>
        <v>1.0972499999999998</v>
      </c>
      <c r="AI40" s="234">
        <f t="shared" si="8"/>
        <v>23.049627643930584</v>
      </c>
      <c r="AJ40" s="235">
        <f t="shared" si="19"/>
        <v>79.73716555928449</v>
      </c>
      <c r="AK40" s="236">
        <f t="shared" si="20"/>
        <v>10.631622074571265</v>
      </c>
      <c r="AL40" s="548">
        <f t="shared" si="21"/>
        <v>563.5451181152017</v>
      </c>
      <c r="AM40" s="239"/>
      <c r="AN40" s="239"/>
    </row>
    <row r="41" spans="1:40" ht="12.75">
      <c r="A41" s="239"/>
      <c r="B41" s="633" t="s">
        <v>93</v>
      </c>
      <c r="C41" s="109">
        <v>10</v>
      </c>
      <c r="D41" s="233">
        <f t="shared" si="9"/>
        <v>193</v>
      </c>
      <c r="E41" s="157">
        <v>17.5</v>
      </c>
      <c r="F41" s="109">
        <v>0</v>
      </c>
      <c r="G41" s="109">
        <v>7</v>
      </c>
      <c r="H41" s="73">
        <f t="shared" si="0"/>
        <v>10.703348780460379</v>
      </c>
      <c r="I41" s="73"/>
      <c r="J41" s="73" t="str">
        <f t="shared" si="1"/>
        <v>.</v>
      </c>
      <c r="K41" s="73" t="str">
        <f t="shared" si="2"/>
        <v>.</v>
      </c>
      <c r="L41" s="73" t="str">
        <f t="shared" si="10"/>
        <v>.</v>
      </c>
      <c r="M41" s="73" t="str">
        <f t="shared" si="11"/>
        <v>.</v>
      </c>
      <c r="N41" s="73">
        <f t="shared" si="3"/>
        <v>333.4639383578143</v>
      </c>
      <c r="O41" s="73" t="str">
        <f t="shared" si="4"/>
        <v>.</v>
      </c>
      <c r="P41" s="73" t="str">
        <f t="shared" si="5"/>
        <v>.</v>
      </c>
      <c r="Q41" s="73" t="str">
        <f t="shared" si="6"/>
        <v>.</v>
      </c>
      <c r="R41" s="634" t="str">
        <f t="shared" si="7"/>
        <v>.</v>
      </c>
      <c r="T41" s="239"/>
      <c r="W41" s="222">
        <f t="shared" si="12"/>
        <v>577.9266397716481</v>
      </c>
      <c r="X41" s="1">
        <f t="shared" si="13"/>
        <v>1.00625</v>
      </c>
      <c r="Y41" s="1">
        <f t="shared" si="14"/>
        <v>1.015625</v>
      </c>
      <c r="Z41" s="1">
        <f t="shared" si="15"/>
        <v>1.0278281249999999</v>
      </c>
      <c r="AA41" s="1">
        <f t="shared" si="16"/>
        <v>1.0695703125000002</v>
      </c>
      <c r="AB41" s="1">
        <f t="shared" si="17"/>
        <v>1.0753749999999997</v>
      </c>
      <c r="AC41" s="1">
        <f t="shared" si="18"/>
        <v>1.1884374999999996</v>
      </c>
      <c r="AI41" s="234">
        <f t="shared" si="8"/>
        <v>21.96986757062787</v>
      </c>
      <c r="AJ41" s="235">
        <f t="shared" si="19"/>
        <v>80.27511585345285</v>
      </c>
      <c r="AK41" s="236">
        <f t="shared" si="20"/>
        <v>10.703348780460379</v>
      </c>
      <c r="AL41" s="548">
        <f t="shared" si="21"/>
        <v>577.9266397716481</v>
      </c>
      <c r="AM41" s="239"/>
      <c r="AN41" s="239"/>
    </row>
    <row r="42" spans="1:40" ht="12.75">
      <c r="A42" s="239"/>
      <c r="B42" s="633" t="s">
        <v>94</v>
      </c>
      <c r="C42" s="109">
        <v>11</v>
      </c>
      <c r="D42" s="233">
        <f t="shared" si="9"/>
        <v>203</v>
      </c>
      <c r="E42" s="157">
        <v>17.8</v>
      </c>
      <c r="F42" s="109">
        <v>0</v>
      </c>
      <c r="G42" s="109">
        <v>7</v>
      </c>
      <c r="H42" s="73">
        <f t="shared" si="0"/>
        <v>10.815761638900858</v>
      </c>
      <c r="I42" s="73"/>
      <c r="J42" s="73" t="str">
        <f t="shared" si="1"/>
        <v>.</v>
      </c>
      <c r="K42" s="73" t="str">
        <f t="shared" si="2"/>
        <v>.</v>
      </c>
      <c r="L42" s="73" t="str">
        <f t="shared" si="10"/>
        <v>.</v>
      </c>
      <c r="M42" s="73" t="str">
        <f t="shared" si="11"/>
        <v>.</v>
      </c>
      <c r="N42" s="73">
        <f t="shared" si="3"/>
        <v>344.5425119804839</v>
      </c>
      <c r="O42" s="73" t="str">
        <f t="shared" si="4"/>
        <v>.</v>
      </c>
      <c r="P42" s="73" t="str">
        <f t="shared" si="5"/>
        <v>.</v>
      </c>
      <c r="Q42" s="73" t="str">
        <f t="shared" si="6"/>
        <v>.</v>
      </c>
      <c r="R42" s="634" t="str">
        <f t="shared" si="7"/>
        <v>.</v>
      </c>
      <c r="T42" s="239"/>
      <c r="W42" s="222">
        <f t="shared" si="12"/>
        <v>600.6649706382512</v>
      </c>
      <c r="X42" s="1">
        <f t="shared" si="13"/>
        <v>1.00616</v>
      </c>
      <c r="Y42" s="1">
        <f t="shared" si="14"/>
        <v>1.0153999999999996</v>
      </c>
      <c r="Z42" s="1">
        <f t="shared" si="15"/>
        <v>1.035421176</v>
      </c>
      <c r="AA42" s="1">
        <f t="shared" si="16"/>
        <v>1.08855294</v>
      </c>
      <c r="AB42" s="1">
        <f t="shared" si="17"/>
        <v>1.0965639999999997</v>
      </c>
      <c r="AC42" s="1">
        <f t="shared" si="18"/>
        <v>1.2414099999999997</v>
      </c>
      <c r="AI42" s="234">
        <f t="shared" si="8"/>
        <v>20.240682902770423</v>
      </c>
      <c r="AJ42" s="235">
        <f t="shared" si="19"/>
        <v>81.11821229175644</v>
      </c>
      <c r="AK42" s="236">
        <f t="shared" si="20"/>
        <v>10.815761638900858</v>
      </c>
      <c r="AL42" s="548">
        <f t="shared" si="21"/>
        <v>600.6649706382512</v>
      </c>
      <c r="AM42" s="239"/>
      <c r="AN42" s="239"/>
    </row>
    <row r="43" spans="1:40" ht="12.75">
      <c r="A43" s="239"/>
      <c r="B43" s="633" t="s">
        <v>101</v>
      </c>
      <c r="C43" s="109">
        <v>10</v>
      </c>
      <c r="D43" s="233">
        <f t="shared" si="9"/>
        <v>214</v>
      </c>
      <c r="E43" s="157">
        <v>18</v>
      </c>
      <c r="F43" s="109">
        <v>0</v>
      </c>
      <c r="G43" s="109">
        <v>7</v>
      </c>
      <c r="H43" s="73">
        <f t="shared" si="0"/>
        <v>10.979176634562092</v>
      </c>
      <c r="I43" s="73"/>
      <c r="J43" s="73" t="str">
        <f t="shared" si="1"/>
        <v>.</v>
      </c>
      <c r="K43" s="73" t="str">
        <f t="shared" si="2"/>
        <v>.</v>
      </c>
      <c r="L43" s="73" t="str">
        <f t="shared" si="10"/>
        <v>.</v>
      </c>
      <c r="M43" s="73" t="str">
        <f t="shared" si="11"/>
        <v>.</v>
      </c>
      <c r="N43" s="73">
        <f t="shared" si="3"/>
        <v>360.61230395007993</v>
      </c>
      <c r="O43" s="73" t="str">
        <f t="shared" si="4"/>
        <v>.</v>
      </c>
      <c r="P43" s="73" t="str">
        <f t="shared" si="5"/>
        <v>.</v>
      </c>
      <c r="Q43" s="73" t="str">
        <f t="shared" si="6"/>
        <v>.</v>
      </c>
      <c r="R43" s="634" t="str">
        <f t="shared" si="7"/>
        <v>.</v>
      </c>
      <c r="T43" s="239"/>
      <c r="W43" s="222">
        <f t="shared" si="12"/>
        <v>634.0042731730704</v>
      </c>
      <c r="X43" s="1">
        <f t="shared" si="13"/>
        <v>1.006</v>
      </c>
      <c r="Y43" s="1">
        <f t="shared" si="14"/>
        <v>1.015</v>
      </c>
      <c r="Z43" s="1">
        <f t="shared" si="15"/>
        <v>1.040416</v>
      </c>
      <c r="AA43" s="1">
        <f t="shared" si="16"/>
        <v>1.1010400000000002</v>
      </c>
      <c r="AB43" s="1">
        <f t="shared" si="17"/>
        <v>1.1103999999999998</v>
      </c>
      <c r="AC43" s="1">
        <f t="shared" si="18"/>
        <v>1.2759999999999998</v>
      </c>
      <c r="AI43" s="234">
        <f t="shared" si="8"/>
        <v>17.650037105625596</v>
      </c>
      <c r="AJ43" s="235">
        <f t="shared" si="19"/>
        <v>82.34382475921569</v>
      </c>
      <c r="AK43" s="236">
        <f t="shared" si="20"/>
        <v>10.979176634562092</v>
      </c>
      <c r="AL43" s="548">
        <f t="shared" si="21"/>
        <v>634.0042731730704</v>
      </c>
      <c r="AM43" s="239"/>
      <c r="AN43" s="239"/>
    </row>
    <row r="44" spans="1:40" ht="12.75">
      <c r="A44" s="239"/>
      <c r="B44" s="633" t="s">
        <v>102</v>
      </c>
      <c r="C44" s="109">
        <v>10</v>
      </c>
      <c r="D44" s="233">
        <f t="shared" si="9"/>
        <v>224</v>
      </c>
      <c r="E44" s="157">
        <v>18.5</v>
      </c>
      <c r="F44" s="109">
        <v>0</v>
      </c>
      <c r="G44" s="109">
        <v>7</v>
      </c>
      <c r="H44" s="73">
        <f t="shared" si="0"/>
        <v>11.15644751346086</v>
      </c>
      <c r="I44" s="73"/>
      <c r="J44" s="73" t="str">
        <f t="shared" si="1"/>
        <v>.</v>
      </c>
      <c r="K44" s="73" t="str">
        <f t="shared" si="2"/>
        <v>.</v>
      </c>
      <c r="L44" s="73" t="str">
        <f t="shared" si="10"/>
        <v>.</v>
      </c>
      <c r="M44" s="73" t="str">
        <f t="shared" si="11"/>
        <v>.</v>
      </c>
      <c r="N44" s="73">
        <f t="shared" si="3"/>
        <v>377.84136594623135</v>
      </c>
      <c r="O44" s="73" t="str">
        <f t="shared" si="4"/>
        <v>.</v>
      </c>
      <c r="P44" s="73" t="str">
        <f t="shared" si="5"/>
        <v>.</v>
      </c>
      <c r="Q44" s="73" t="str">
        <f t="shared" si="6"/>
        <v>.</v>
      </c>
      <c r="R44" s="634" t="str">
        <f t="shared" si="7"/>
        <v>.</v>
      </c>
      <c r="T44" s="239"/>
      <c r="W44" s="222">
        <f t="shared" si="12"/>
        <v>670.264331295252</v>
      </c>
      <c r="X44" s="1">
        <f t="shared" si="13"/>
        <v>1.0052500000000002</v>
      </c>
      <c r="Y44" s="1">
        <f t="shared" si="14"/>
        <v>1.013125</v>
      </c>
      <c r="Z44" s="1">
        <f t="shared" si="15"/>
        <v>1.052654875</v>
      </c>
      <c r="AA44" s="1">
        <f t="shared" si="16"/>
        <v>1.1316371875000002</v>
      </c>
      <c r="AB44" s="1">
        <f t="shared" si="17"/>
        <v>1.143975</v>
      </c>
      <c r="AC44" s="1">
        <f t="shared" si="18"/>
        <v>1.3599375000000005</v>
      </c>
      <c r="AI44" s="234">
        <f t="shared" si="8"/>
        <v>14.744488002272323</v>
      </c>
      <c r="AJ44" s="235">
        <f t="shared" si="19"/>
        <v>83.67335635095645</v>
      </c>
      <c r="AK44" s="236">
        <f t="shared" si="20"/>
        <v>11.15644751346086</v>
      </c>
      <c r="AL44" s="548">
        <f t="shared" si="21"/>
        <v>670.264331295252</v>
      </c>
      <c r="AM44" s="239"/>
      <c r="AN44" s="239"/>
    </row>
    <row r="45" spans="1:40" ht="12.75">
      <c r="A45" s="239"/>
      <c r="B45" s="633" t="s">
        <v>103</v>
      </c>
      <c r="C45" s="109">
        <v>11</v>
      </c>
      <c r="D45" s="233">
        <f t="shared" si="9"/>
        <v>234</v>
      </c>
      <c r="E45" s="157">
        <v>19.5</v>
      </c>
      <c r="F45" s="109">
        <v>0</v>
      </c>
      <c r="G45" s="109">
        <v>7</v>
      </c>
      <c r="H45" s="73">
        <f t="shared" si="0"/>
        <v>11.354063702625924</v>
      </c>
      <c r="I45" s="73"/>
      <c r="J45" s="73" t="str">
        <f t="shared" si="1"/>
        <v>.</v>
      </c>
      <c r="K45" s="73" t="str">
        <f t="shared" si="2"/>
        <v>.</v>
      </c>
      <c r="L45" s="73" t="str">
        <f t="shared" si="10"/>
        <v>.</v>
      </c>
      <c r="M45" s="73" t="str">
        <f t="shared" si="11"/>
        <v>.</v>
      </c>
      <c r="N45" s="73">
        <f t="shared" si="3"/>
        <v>396.5557114327567</v>
      </c>
      <c r="O45" s="73" t="str">
        <f t="shared" si="4"/>
        <v>.</v>
      </c>
      <c r="P45" s="73" t="str">
        <f t="shared" si="5"/>
        <v>.</v>
      </c>
      <c r="Q45" s="73" t="str">
        <f t="shared" si="6"/>
        <v>.</v>
      </c>
      <c r="R45" s="634" t="str">
        <f t="shared" si="7"/>
        <v>.</v>
      </c>
      <c r="T45" s="239"/>
      <c r="W45" s="222">
        <f t="shared" si="12"/>
        <v>710.3427461659862</v>
      </c>
      <c r="X45" s="1">
        <f t="shared" si="13"/>
        <v>1.00225</v>
      </c>
      <c r="Y45" s="1">
        <f t="shared" si="14"/>
        <v>1.0056249999999998</v>
      </c>
      <c r="Z45" s="1">
        <f t="shared" si="15"/>
        <v>1.075974625</v>
      </c>
      <c r="AA45" s="1">
        <f t="shared" si="16"/>
        <v>1.1899365625000002</v>
      </c>
      <c r="AB45" s="1">
        <f t="shared" si="17"/>
        <v>1.206775</v>
      </c>
      <c r="AC45" s="1">
        <f t="shared" si="18"/>
        <v>1.5169374999999996</v>
      </c>
      <c r="AI45" s="234">
        <f t="shared" si="8"/>
        <v>11.40309498169878</v>
      </c>
      <c r="AJ45" s="235">
        <f t="shared" si="19"/>
        <v>85.15547776969443</v>
      </c>
      <c r="AK45" s="236">
        <f t="shared" si="20"/>
        <v>11.354063702625924</v>
      </c>
      <c r="AL45" s="548">
        <f t="shared" si="21"/>
        <v>710.3427461659862</v>
      </c>
      <c r="AM45" s="239"/>
      <c r="AN45" s="239"/>
    </row>
    <row r="46" spans="1:40" ht="12.75">
      <c r="A46" s="239"/>
      <c r="B46" s="633" t="s">
        <v>104</v>
      </c>
      <c r="C46" s="109">
        <v>10</v>
      </c>
      <c r="D46" s="233">
        <f t="shared" si="9"/>
        <v>245</v>
      </c>
      <c r="E46" s="157">
        <v>20</v>
      </c>
      <c r="F46" s="109">
        <v>0</v>
      </c>
      <c r="G46" s="109">
        <v>7</v>
      </c>
      <c r="H46" s="73">
        <f t="shared" si="0"/>
        <v>11.587622677087605</v>
      </c>
      <c r="I46" s="73"/>
      <c r="J46" s="73" t="str">
        <f t="shared" si="1"/>
        <v>.</v>
      </c>
      <c r="K46" s="73" t="str">
        <f t="shared" si="2"/>
        <v>.</v>
      </c>
      <c r="L46" s="73" t="str">
        <f t="shared" si="10"/>
        <v>.</v>
      </c>
      <c r="M46" s="73" t="str">
        <f t="shared" si="11"/>
        <v>.</v>
      </c>
      <c r="N46" s="73">
        <f t="shared" si="3"/>
        <v>417.62088076351387</v>
      </c>
      <c r="O46" s="73" t="str">
        <f t="shared" si="4"/>
        <v>.</v>
      </c>
      <c r="P46" s="73" t="str">
        <f t="shared" si="5"/>
        <v>.</v>
      </c>
      <c r="Q46" s="73" t="str">
        <f t="shared" si="6"/>
        <v>.</v>
      </c>
      <c r="R46" s="634" t="str">
        <f t="shared" si="7"/>
        <v>.</v>
      </c>
      <c r="T46" s="239"/>
      <c r="W46" s="222">
        <f t="shared" si="12"/>
        <v>756.4959432818079</v>
      </c>
      <c r="X46" s="1">
        <f t="shared" si="13"/>
        <v>0.9999999999999999</v>
      </c>
      <c r="Y46" s="1">
        <f t="shared" si="14"/>
        <v>1</v>
      </c>
      <c r="Z46" s="1">
        <f t="shared" si="15"/>
        <v>1.087</v>
      </c>
      <c r="AA46" s="1">
        <f t="shared" si="16"/>
        <v>1.2175</v>
      </c>
      <c r="AB46" s="1">
        <f t="shared" si="17"/>
        <v>1.236</v>
      </c>
      <c r="AC46" s="1">
        <f t="shared" si="18"/>
        <v>1.5899999999999999</v>
      </c>
      <c r="AI46" s="234">
        <f t="shared" si="8"/>
        <v>7.342360109945141</v>
      </c>
      <c r="AJ46" s="235">
        <f t="shared" si="19"/>
        <v>86.90717007815704</v>
      </c>
      <c r="AK46" s="236">
        <f t="shared" si="20"/>
        <v>11.587622677087605</v>
      </c>
      <c r="AL46" s="548">
        <f t="shared" si="21"/>
        <v>756.4959432818079</v>
      </c>
      <c r="AM46" s="239"/>
      <c r="AN46" s="239"/>
    </row>
    <row r="47" spans="1:40" ht="12.75">
      <c r="A47" s="239"/>
      <c r="B47" s="633" t="s">
        <v>105</v>
      </c>
      <c r="C47" s="109">
        <v>10</v>
      </c>
      <c r="D47" s="233">
        <f t="shared" si="9"/>
        <v>255</v>
      </c>
      <c r="E47" s="157">
        <v>20.3</v>
      </c>
      <c r="F47" s="109">
        <v>0</v>
      </c>
      <c r="G47" s="109">
        <v>7</v>
      </c>
      <c r="H47" s="73">
        <f t="shared" si="0"/>
        <v>11.808873512386574</v>
      </c>
      <c r="I47" s="73"/>
      <c r="J47" s="73" t="str">
        <f t="shared" si="1"/>
        <v>.</v>
      </c>
      <c r="K47" s="73" t="str">
        <f t="shared" si="2"/>
        <v>.</v>
      </c>
      <c r="L47" s="73" t="str">
        <f t="shared" si="10"/>
        <v>.</v>
      </c>
      <c r="M47" s="73" t="str">
        <f t="shared" si="11"/>
        <v>.</v>
      </c>
      <c r="N47" s="73">
        <f t="shared" si="3"/>
        <v>436.12517052419895</v>
      </c>
      <c r="O47" s="73" t="str">
        <f t="shared" si="4"/>
        <v>.</v>
      </c>
      <c r="P47" s="73" t="str">
        <f t="shared" si="5"/>
        <v>.</v>
      </c>
      <c r="Q47" s="73" t="str">
        <f t="shared" si="6"/>
        <v>.</v>
      </c>
      <c r="R47" s="634" t="str">
        <f t="shared" si="7"/>
        <v>.</v>
      </c>
      <c r="T47" s="239"/>
      <c r="W47" s="222">
        <f t="shared" si="12"/>
        <v>798.1978712579697</v>
      </c>
      <c r="X47" s="1">
        <f t="shared" si="13"/>
        <v>0.9960249999999999</v>
      </c>
      <c r="Y47" s="1">
        <f t="shared" si="14"/>
        <v>0.9920499999999994</v>
      </c>
      <c r="Z47" s="1">
        <f t="shared" si="15"/>
        <v>1.093396201</v>
      </c>
      <c r="AA47" s="1">
        <f t="shared" si="16"/>
        <v>1.2334905025</v>
      </c>
      <c r="AB47" s="1">
        <f t="shared" si="17"/>
        <v>1.2528389999999998</v>
      </c>
      <c r="AC47" s="1">
        <f t="shared" si="18"/>
        <v>1.6320974999999995</v>
      </c>
      <c r="AI47" s="234">
        <f t="shared" si="8"/>
        <v>3.4189911677710714</v>
      </c>
      <c r="AJ47" s="235">
        <f t="shared" si="19"/>
        <v>88.5665513428993</v>
      </c>
      <c r="AK47" s="236">
        <f t="shared" si="20"/>
        <v>11.808873512386574</v>
      </c>
      <c r="AL47" s="548">
        <f t="shared" si="21"/>
        <v>798.1978712579697</v>
      </c>
      <c r="AM47" s="239"/>
      <c r="AN47" s="239"/>
    </row>
    <row r="48" spans="1:40" ht="12.75">
      <c r="A48" s="239"/>
      <c r="B48" s="633" t="s">
        <v>106</v>
      </c>
      <c r="C48" s="109">
        <v>10</v>
      </c>
      <c r="D48" s="233">
        <f t="shared" si="9"/>
        <v>265</v>
      </c>
      <c r="E48" s="157">
        <v>21</v>
      </c>
      <c r="F48" s="109">
        <v>0</v>
      </c>
      <c r="G48" s="109">
        <v>7</v>
      </c>
      <c r="H48" s="73">
        <f t="shared" si="0"/>
        <v>12.033802756195273</v>
      </c>
      <c r="I48" s="73"/>
      <c r="J48" s="73" t="str">
        <f t="shared" si="1"/>
        <v>.</v>
      </c>
      <c r="K48" s="73" t="str">
        <f t="shared" si="2"/>
        <v>.</v>
      </c>
      <c r="L48" s="73" t="str">
        <f t="shared" si="10"/>
        <v>.</v>
      </c>
      <c r="M48" s="73" t="str">
        <f t="shared" si="11"/>
        <v>.</v>
      </c>
      <c r="N48" s="73">
        <f t="shared" si="3"/>
        <v>453.1222769795856</v>
      </c>
      <c r="O48" s="73" t="str">
        <f t="shared" si="4"/>
        <v>.</v>
      </c>
      <c r="P48" s="73" t="str">
        <f t="shared" si="5"/>
        <v>.</v>
      </c>
      <c r="Q48" s="73" t="str">
        <f t="shared" si="6"/>
        <v>.</v>
      </c>
      <c r="R48" s="634" t="str">
        <f t="shared" si="7"/>
        <v>.</v>
      </c>
      <c r="T48" s="239"/>
      <c r="W48" s="222">
        <f t="shared" si="12"/>
        <v>837.8006327658474</v>
      </c>
      <c r="X48" s="1">
        <f t="shared" si="13"/>
        <v>0.9849999999999999</v>
      </c>
      <c r="Y48" s="1">
        <f t="shared" si="14"/>
        <v>0.9699999999999998</v>
      </c>
      <c r="Z48" s="1">
        <f t="shared" si="15"/>
        <v>1.107643</v>
      </c>
      <c r="AA48" s="1">
        <f t="shared" si="16"/>
        <v>1.2691075</v>
      </c>
      <c r="AB48" s="1">
        <f t="shared" si="17"/>
        <v>1.2900999999999996</v>
      </c>
      <c r="AC48" s="1">
        <f t="shared" si="18"/>
        <v>1.725249999999999</v>
      </c>
      <c r="AI48" s="234">
        <f t="shared" si="8"/>
        <v>-0.6054424233262545</v>
      </c>
      <c r="AJ48" s="235">
        <f t="shared" si="19"/>
        <v>90.25352067146454</v>
      </c>
      <c r="AK48" s="236">
        <f t="shared" si="20"/>
        <v>12.033802756195273</v>
      </c>
      <c r="AL48" s="548">
        <f t="shared" si="21"/>
        <v>837.8006327658474</v>
      </c>
      <c r="AM48" s="239"/>
      <c r="AN48" s="239"/>
    </row>
    <row r="49" spans="1:40" ht="12.75">
      <c r="A49" s="239"/>
      <c r="B49" s="633" t="s">
        <v>107</v>
      </c>
      <c r="C49" s="109">
        <v>10</v>
      </c>
      <c r="D49" s="233">
        <f t="shared" si="9"/>
        <v>275</v>
      </c>
      <c r="E49" s="157">
        <v>21.5</v>
      </c>
      <c r="F49" s="109">
        <v>0</v>
      </c>
      <c r="G49" s="109">
        <v>7</v>
      </c>
      <c r="H49" s="73">
        <f t="shared" si="0"/>
        <v>12.25808992035545</v>
      </c>
      <c r="I49" s="73"/>
      <c r="J49" s="73" t="str">
        <f t="shared" si="1"/>
        <v>.</v>
      </c>
      <c r="K49" s="73" t="str">
        <f t="shared" si="2"/>
        <v>.</v>
      </c>
      <c r="L49" s="73" t="str">
        <f t="shared" si="10"/>
        <v>.</v>
      </c>
      <c r="M49" s="73" t="str">
        <f t="shared" si="11"/>
        <v>.</v>
      </c>
      <c r="N49" s="73">
        <f t="shared" si="3"/>
        <v>467.96330505581034</v>
      </c>
      <c r="O49" s="73" t="str">
        <f t="shared" si="4"/>
        <v>.</v>
      </c>
      <c r="P49" s="73" t="str">
        <f t="shared" si="5"/>
        <v>.</v>
      </c>
      <c r="Q49" s="73" t="str">
        <f t="shared" si="6"/>
        <v>.</v>
      </c>
      <c r="R49" s="634" t="str">
        <f t="shared" si="7"/>
        <v>.</v>
      </c>
      <c r="T49" s="239"/>
      <c r="W49" s="222">
        <f t="shared" si="12"/>
        <v>873.8390781964691</v>
      </c>
      <c r="X49" s="1">
        <f t="shared" si="13"/>
        <v>0.9756249999999995</v>
      </c>
      <c r="Y49" s="1">
        <f t="shared" si="14"/>
        <v>0.9512499999999995</v>
      </c>
      <c r="Z49" s="1">
        <f t="shared" si="15"/>
        <v>1.117205125</v>
      </c>
      <c r="AA49" s="1">
        <f t="shared" si="16"/>
        <v>1.2930128124999998</v>
      </c>
      <c r="AB49" s="1">
        <f t="shared" si="17"/>
        <v>1.3149749999999996</v>
      </c>
      <c r="AC49" s="1">
        <f t="shared" si="18"/>
        <v>1.7874374999999998</v>
      </c>
      <c r="AI49" s="234">
        <f t="shared" si="8"/>
        <v>-4.611979265659362</v>
      </c>
      <c r="AJ49" s="235">
        <f t="shared" si="19"/>
        <v>91.93567440266588</v>
      </c>
      <c r="AK49" s="236">
        <f t="shared" si="20"/>
        <v>12.25808992035545</v>
      </c>
      <c r="AL49" s="548">
        <f t="shared" si="21"/>
        <v>873.8390781964691</v>
      </c>
      <c r="AM49" s="239"/>
      <c r="AN49" s="239"/>
    </row>
    <row r="50" spans="1:40" ht="12.75">
      <c r="A50" s="239"/>
      <c r="B50" s="633" t="s">
        <v>108</v>
      </c>
      <c r="C50" s="109">
        <v>10</v>
      </c>
      <c r="D50" s="233">
        <f t="shared" si="9"/>
        <v>285</v>
      </c>
      <c r="E50" s="157">
        <v>22</v>
      </c>
      <c r="F50" s="109">
        <v>0</v>
      </c>
      <c r="G50" s="109">
        <v>7</v>
      </c>
      <c r="H50" s="73">
        <f t="shared" si="0"/>
        <v>12.477354732639723</v>
      </c>
      <c r="I50" s="73"/>
      <c r="J50" s="73" t="str">
        <f t="shared" si="1"/>
        <v>.</v>
      </c>
      <c r="K50" s="73" t="str">
        <f t="shared" si="2"/>
        <v>.</v>
      </c>
      <c r="L50" s="73" t="str">
        <f t="shared" si="10"/>
        <v>.</v>
      </c>
      <c r="M50" s="73" t="str">
        <f t="shared" si="11"/>
        <v>.</v>
      </c>
      <c r="N50" s="73">
        <f t="shared" si="3"/>
        <v>480.25959660814203</v>
      </c>
      <c r="O50" s="73" t="str">
        <f t="shared" si="4"/>
        <v>.</v>
      </c>
      <c r="P50" s="73" t="str">
        <f t="shared" si="5"/>
        <v>.</v>
      </c>
      <c r="Q50" s="73" t="str">
        <f t="shared" si="6"/>
        <v>.</v>
      </c>
      <c r="R50" s="634" t="str">
        <f t="shared" si="7"/>
        <v>.</v>
      </c>
      <c r="T50" s="239"/>
      <c r="W50" s="222">
        <f t="shared" si="12"/>
        <v>905.2821796049293</v>
      </c>
      <c r="X50" s="1">
        <f t="shared" si="13"/>
        <v>0.9649999999999999</v>
      </c>
      <c r="Y50" s="1">
        <f t="shared" si="14"/>
        <v>0.9299999999999997</v>
      </c>
      <c r="Z50" s="1">
        <f t="shared" si="15"/>
        <v>1.1262240000000001</v>
      </c>
      <c r="AA50" s="1">
        <f t="shared" si="16"/>
        <v>1.31556</v>
      </c>
      <c r="AB50" s="1">
        <f t="shared" si="17"/>
        <v>1.3383999999999996</v>
      </c>
      <c r="AC50" s="1">
        <f t="shared" si="18"/>
        <v>1.846</v>
      </c>
      <c r="AI50" s="234">
        <f t="shared" si="8"/>
        <v>-8.482186985613046</v>
      </c>
      <c r="AJ50" s="235">
        <f t="shared" si="19"/>
        <v>93.58016049479792</v>
      </c>
      <c r="AK50" s="236">
        <f t="shared" si="20"/>
        <v>12.477354732639723</v>
      </c>
      <c r="AL50" s="548">
        <f t="shared" si="21"/>
        <v>905.2821796049293</v>
      </c>
      <c r="AM50" s="239"/>
      <c r="AN50" s="239"/>
    </row>
    <row r="51" spans="1:40" ht="12.75">
      <c r="A51" s="239"/>
      <c r="B51" s="633" t="s">
        <v>109</v>
      </c>
      <c r="C51" s="109">
        <v>11</v>
      </c>
      <c r="D51" s="233">
        <f t="shared" si="9"/>
        <v>295</v>
      </c>
      <c r="E51" s="157">
        <v>23</v>
      </c>
      <c r="F51" s="109">
        <v>0</v>
      </c>
      <c r="G51" s="109">
        <v>7</v>
      </c>
      <c r="H51" s="73">
        <f t="shared" si="0"/>
        <v>12.686780745974778</v>
      </c>
      <c r="I51" s="73"/>
      <c r="J51" s="73" t="str">
        <f t="shared" si="1"/>
        <v>.</v>
      </c>
      <c r="K51" s="73" t="str">
        <f t="shared" si="2"/>
        <v>.</v>
      </c>
      <c r="L51" s="73" t="str">
        <f t="shared" si="10"/>
        <v>.</v>
      </c>
      <c r="M51" s="73" t="str">
        <f t="shared" si="11"/>
        <v>.</v>
      </c>
      <c r="N51" s="73">
        <f t="shared" si="3"/>
        <v>489.89625072496347</v>
      </c>
      <c r="O51" s="73" t="str">
        <f t="shared" si="4"/>
        <v>.</v>
      </c>
      <c r="P51" s="73" t="str">
        <f t="shared" si="5"/>
        <v>.</v>
      </c>
      <c r="Q51" s="73" t="str">
        <f t="shared" si="6"/>
        <v>.</v>
      </c>
      <c r="R51" s="634" t="str">
        <f t="shared" si="7"/>
        <v>.</v>
      </c>
      <c r="T51" s="239"/>
      <c r="W51" s="222">
        <f t="shared" si="12"/>
        <v>931.5782792062922</v>
      </c>
      <c r="X51" s="1">
        <f t="shared" si="13"/>
        <v>0.9399999999999997</v>
      </c>
      <c r="Y51" s="1">
        <f t="shared" si="14"/>
        <v>0.8799999999999994</v>
      </c>
      <c r="Z51" s="1">
        <f t="shared" si="15"/>
        <v>1.142521</v>
      </c>
      <c r="AA51" s="1">
        <f t="shared" si="16"/>
        <v>1.3563025</v>
      </c>
      <c r="AB51" s="1">
        <f t="shared" si="17"/>
        <v>1.3808999999999998</v>
      </c>
      <c r="AC51" s="1">
        <f t="shared" si="18"/>
        <v>1.9522499999999994</v>
      </c>
      <c r="AI51" s="234">
        <f t="shared" si="8"/>
        <v>-12.101663069321743</v>
      </c>
      <c r="AJ51" s="235">
        <f t="shared" si="19"/>
        <v>95.15085559481084</v>
      </c>
      <c r="AK51" s="236">
        <f t="shared" si="20"/>
        <v>12.686780745974778</v>
      </c>
      <c r="AL51" s="548">
        <f t="shared" si="21"/>
        <v>931.5782792062922</v>
      </c>
      <c r="AM51" s="239"/>
      <c r="AN51" s="239"/>
    </row>
    <row r="52" spans="1:40" ht="12.75">
      <c r="A52" s="239"/>
      <c r="B52" s="633" t="s">
        <v>110</v>
      </c>
      <c r="C52" s="109">
        <v>10</v>
      </c>
      <c r="D52" s="233">
        <f t="shared" si="9"/>
        <v>306</v>
      </c>
      <c r="E52" s="157">
        <v>23</v>
      </c>
      <c r="F52" s="109">
        <v>0</v>
      </c>
      <c r="G52" s="109">
        <v>7</v>
      </c>
      <c r="H52" s="73">
        <f t="shared" si="0"/>
        <v>12.899169109417242</v>
      </c>
      <c r="I52" s="73"/>
      <c r="J52" s="73" t="str">
        <f t="shared" si="1"/>
        <v>.</v>
      </c>
      <c r="K52" s="73" t="str">
        <f t="shared" si="2"/>
        <v>.</v>
      </c>
      <c r="L52" s="73" t="str">
        <f t="shared" si="10"/>
        <v>.</v>
      </c>
      <c r="M52" s="73" t="str">
        <f t="shared" si="11"/>
        <v>.</v>
      </c>
      <c r="N52" s="73">
        <f t="shared" si="3"/>
        <v>497.59080325571915</v>
      </c>
      <c r="O52" s="73" t="str">
        <f t="shared" si="4"/>
        <v>.</v>
      </c>
      <c r="P52" s="73" t="str">
        <f t="shared" si="5"/>
        <v>.</v>
      </c>
      <c r="Q52" s="73" t="str">
        <f t="shared" si="6"/>
        <v>.</v>
      </c>
      <c r="R52" s="634" t="str">
        <f t="shared" si="7"/>
        <v>.</v>
      </c>
      <c r="T52" s="239"/>
      <c r="W52" s="222">
        <f t="shared" si="12"/>
        <v>954.4544506007364</v>
      </c>
      <c r="X52" s="1">
        <f t="shared" si="13"/>
        <v>0.9399999999999997</v>
      </c>
      <c r="Y52" s="1">
        <f t="shared" si="14"/>
        <v>0.8799999999999994</v>
      </c>
      <c r="Z52" s="1">
        <f t="shared" si="15"/>
        <v>1.142521</v>
      </c>
      <c r="AA52" s="1">
        <f t="shared" si="16"/>
        <v>1.3563025</v>
      </c>
      <c r="AB52" s="1">
        <f t="shared" si="17"/>
        <v>1.3808999999999998</v>
      </c>
      <c r="AC52" s="1">
        <f t="shared" si="18"/>
        <v>1.9522499999999994</v>
      </c>
      <c r="AI52" s="234">
        <f t="shared" si="8"/>
        <v>-15.666097615807347</v>
      </c>
      <c r="AJ52" s="235">
        <f t="shared" si="19"/>
        <v>96.74376832062931</v>
      </c>
      <c r="AK52" s="236">
        <f t="shared" si="20"/>
        <v>12.899169109417242</v>
      </c>
      <c r="AL52" s="548">
        <f t="shared" si="21"/>
        <v>954.4544506007364</v>
      </c>
      <c r="AM52" s="239"/>
      <c r="AN52" s="239"/>
    </row>
    <row r="53" spans="1:40" ht="12.75">
      <c r="A53" s="239"/>
      <c r="B53" s="633" t="s">
        <v>111</v>
      </c>
      <c r="C53" s="109">
        <v>10</v>
      </c>
      <c r="D53" s="233">
        <f t="shared" si="9"/>
        <v>316</v>
      </c>
      <c r="E53" s="157">
        <v>22.5</v>
      </c>
      <c r="F53" s="109">
        <v>0</v>
      </c>
      <c r="G53" s="109">
        <v>7</v>
      </c>
      <c r="H53" s="73">
        <f t="shared" si="0"/>
        <v>13.069034619977772</v>
      </c>
      <c r="I53" s="73"/>
      <c r="J53" s="73" t="str">
        <f t="shared" si="1"/>
        <v>.</v>
      </c>
      <c r="K53" s="73" t="str">
        <f t="shared" si="2"/>
        <v>.</v>
      </c>
      <c r="L53" s="73" t="str">
        <f t="shared" si="10"/>
        <v>.</v>
      </c>
      <c r="M53" s="73" t="str">
        <f t="shared" si="11"/>
        <v>.</v>
      </c>
      <c r="N53" s="73">
        <f t="shared" si="3"/>
        <v>502.30408966737735</v>
      </c>
      <c r="O53" s="73" t="str">
        <f t="shared" si="4"/>
        <v>.</v>
      </c>
      <c r="P53" s="73" t="str">
        <f t="shared" si="5"/>
        <v>.</v>
      </c>
      <c r="Q53" s="73" t="str">
        <f t="shared" si="6"/>
        <v>.</v>
      </c>
      <c r="R53" s="634" t="str">
        <f t="shared" si="7"/>
        <v>.</v>
      </c>
      <c r="T53" s="239"/>
      <c r="W53" s="222">
        <f t="shared" si="12"/>
        <v>970.0574297946299</v>
      </c>
      <c r="X53" s="1">
        <f t="shared" si="13"/>
        <v>0.953125</v>
      </c>
      <c r="Y53" s="1">
        <f t="shared" si="14"/>
        <v>0.9062499999999996</v>
      </c>
      <c r="Z53" s="1">
        <f t="shared" si="15"/>
        <v>1.1346718749999998</v>
      </c>
      <c r="AA53" s="1">
        <f t="shared" si="16"/>
        <v>1.3366796875000002</v>
      </c>
      <c r="AB53" s="1">
        <f t="shared" si="17"/>
        <v>1.3603749999999997</v>
      </c>
      <c r="AC53" s="1">
        <f t="shared" si="18"/>
        <v>1.900937499999999</v>
      </c>
      <c r="AI53" s="234">
        <f t="shared" si="8"/>
        <v>-18.42348910159584</v>
      </c>
      <c r="AJ53" s="235">
        <f t="shared" si="19"/>
        <v>98.0177596498333</v>
      </c>
      <c r="AK53" s="236">
        <f t="shared" si="20"/>
        <v>13.069034619977772</v>
      </c>
      <c r="AL53" s="548">
        <f t="shared" si="21"/>
        <v>970.0574297946299</v>
      </c>
      <c r="AM53" s="239"/>
      <c r="AN53" s="239"/>
    </row>
    <row r="54" spans="1:40" ht="12.75">
      <c r="A54" s="239"/>
      <c r="B54" s="633" t="s">
        <v>112</v>
      </c>
      <c r="C54" s="109">
        <v>10</v>
      </c>
      <c r="D54" s="233">
        <f t="shared" si="9"/>
        <v>326</v>
      </c>
      <c r="E54" s="157">
        <v>23.5</v>
      </c>
      <c r="F54" s="109">
        <v>0</v>
      </c>
      <c r="G54" s="109">
        <v>7</v>
      </c>
      <c r="H54" s="73">
        <f aca="true" t="shared" si="22" ref="H54:H85">AK54</f>
        <v>13.209703948460659</v>
      </c>
      <c r="I54" s="73"/>
      <c r="J54" s="73" t="str">
        <f aca="true" t="shared" si="23" ref="J54:J85">IF(F54=0,".",31.7+0.219*W54*L54*O54)</f>
        <v>.</v>
      </c>
      <c r="K54" s="73" t="str">
        <f aca="true" t="shared" si="24" ref="K54:K85">IF(F54=0,".",107.2+0.36*W54*M54*(1-O54))</f>
        <v>.</v>
      </c>
      <c r="L54" s="73" t="str">
        <f t="shared" si="10"/>
        <v>.</v>
      </c>
      <c r="M54" s="73" t="str">
        <f t="shared" si="11"/>
        <v>.</v>
      </c>
      <c r="N54" s="73">
        <f aca="true" t="shared" si="25" ref="N54:N85">($K$9+$K$11*(G54/H54))*W54</f>
        <v>505.2981424605402</v>
      </c>
      <c r="O54" s="73" t="str">
        <f aca="true" t="shared" si="26" ref="O54:O85">IF(F54=0,".",1-G54/H54)</f>
        <v>.</v>
      </c>
      <c r="P54" s="73" t="str">
        <f aca="true" t="shared" si="27" ref="P54:P85">IF(F54=0,".",IF(F54&gt;5,1,0.0186+0.37*F54-0.035*F54^2))</f>
        <v>.</v>
      </c>
      <c r="Q54" s="73" t="str">
        <f aca="true" t="shared" si="28" ref="Q54:Q85">IF(F54=0,".",IF(E54&lt;20,0.6,0.5))</f>
        <v>.</v>
      </c>
      <c r="R54" s="634" t="str">
        <f aca="true" t="shared" si="29" ref="R54:R85">IF(F54=0,".",IF(F54=0,0,(J54+K54)*P54*Q54*$H$13*C54))</f>
        <v>.</v>
      </c>
      <c r="T54" s="239"/>
      <c r="W54" s="222">
        <f t="shared" si="12"/>
        <v>981.2438797943557</v>
      </c>
      <c r="X54" s="1">
        <f t="shared" si="13"/>
        <v>0.9256249999999999</v>
      </c>
      <c r="Y54" s="1">
        <f t="shared" si="14"/>
        <v>0.8512499999999998</v>
      </c>
      <c r="Z54" s="1">
        <f t="shared" si="15"/>
        <v>1.149743625</v>
      </c>
      <c r="AA54" s="1">
        <f t="shared" si="16"/>
        <v>1.3743590625000002</v>
      </c>
      <c r="AB54" s="1">
        <f t="shared" si="17"/>
        <v>1.3999750000000002</v>
      </c>
      <c r="AC54" s="1">
        <f t="shared" si="18"/>
        <v>1.9999374999999997</v>
      </c>
      <c r="AI54" s="234">
        <f aca="true" t="shared" si="30" ref="AI54:AI85">23.45*SIN(RADIANS((360/365)*(D54-81)))</f>
        <v>-20.6362861831794</v>
      </c>
      <c r="AJ54" s="235">
        <f t="shared" si="19"/>
        <v>99.07277961345494</v>
      </c>
      <c r="AK54" s="236">
        <f t="shared" si="20"/>
        <v>13.209703948460659</v>
      </c>
      <c r="AL54" s="548">
        <f t="shared" si="21"/>
        <v>981.2438797943557</v>
      </c>
      <c r="AM54" s="239"/>
      <c r="AN54" s="239"/>
    </row>
    <row r="55" spans="1:40" ht="12.75">
      <c r="A55" s="239"/>
      <c r="B55" s="633" t="s">
        <v>113</v>
      </c>
      <c r="C55" s="109">
        <v>10</v>
      </c>
      <c r="D55" s="233">
        <f t="shared" si="9"/>
        <v>336</v>
      </c>
      <c r="E55" s="157">
        <v>23.6</v>
      </c>
      <c r="F55" s="109">
        <v>0</v>
      </c>
      <c r="G55" s="109">
        <v>7</v>
      </c>
      <c r="H55" s="73">
        <f t="shared" si="22"/>
        <v>13.314419248701695</v>
      </c>
      <c r="I55" s="73"/>
      <c r="J55" s="73" t="str">
        <f t="shared" si="23"/>
        <v>.</v>
      </c>
      <c r="K55" s="73" t="str">
        <f t="shared" si="24"/>
        <v>.</v>
      </c>
      <c r="L55" s="73" t="str">
        <f t="shared" si="10"/>
        <v>.</v>
      </c>
      <c r="M55" s="73" t="str">
        <f t="shared" si="11"/>
        <v>.</v>
      </c>
      <c r="N55" s="73">
        <f t="shared" si="25"/>
        <v>507.0265587566367</v>
      </c>
      <c r="O55" s="73" t="str">
        <f t="shared" si="26"/>
        <v>.</v>
      </c>
      <c r="P55" s="73" t="str">
        <f t="shared" si="27"/>
        <v>.</v>
      </c>
      <c r="Q55" s="73" t="str">
        <f t="shared" si="28"/>
        <v>.</v>
      </c>
      <c r="R55" s="634" t="str">
        <f t="shared" si="29"/>
        <v>.</v>
      </c>
      <c r="T55" s="239"/>
      <c r="W55" s="222">
        <f t="shared" si="12"/>
        <v>988.6007990205717</v>
      </c>
      <c r="X55" s="1">
        <f t="shared" si="13"/>
        <v>0.9225999999999999</v>
      </c>
      <c r="Y55" s="1">
        <f t="shared" si="14"/>
        <v>0.8451999999999997</v>
      </c>
      <c r="Z55" s="1">
        <f t="shared" si="15"/>
        <v>1.151110528</v>
      </c>
      <c r="AA55" s="1">
        <f t="shared" si="16"/>
        <v>1.37777632</v>
      </c>
      <c r="AB55" s="1">
        <f t="shared" si="17"/>
        <v>1.4036159999999998</v>
      </c>
      <c r="AC55" s="1">
        <f t="shared" si="18"/>
        <v>2.0090399999999997</v>
      </c>
      <c r="AI55" s="234">
        <f t="shared" si="30"/>
        <v>-22.239079051285422</v>
      </c>
      <c r="AJ55" s="235">
        <f t="shared" si="19"/>
        <v>99.85814436526272</v>
      </c>
      <c r="AK55" s="236">
        <f t="shared" si="20"/>
        <v>13.314419248701695</v>
      </c>
      <c r="AL55" s="548">
        <f t="shared" si="21"/>
        <v>988.6007990205717</v>
      </c>
      <c r="AM55" s="239"/>
      <c r="AN55" s="239"/>
    </row>
    <row r="56" spans="1:40" ht="12.75">
      <c r="A56" s="239"/>
      <c r="B56" s="633" t="s">
        <v>114</v>
      </c>
      <c r="C56" s="109">
        <v>10</v>
      </c>
      <c r="D56" s="233">
        <f t="shared" si="9"/>
        <v>346</v>
      </c>
      <c r="E56" s="157">
        <v>23.8</v>
      </c>
      <c r="F56" s="109">
        <v>0</v>
      </c>
      <c r="G56" s="109">
        <v>7</v>
      </c>
      <c r="H56" s="73">
        <f t="shared" si="22"/>
        <v>13.377424945254644</v>
      </c>
      <c r="I56" s="73"/>
      <c r="J56" s="73" t="str">
        <f t="shared" si="23"/>
        <v>.</v>
      </c>
      <c r="K56" s="73" t="str">
        <f t="shared" si="24"/>
        <v>.</v>
      </c>
      <c r="L56" s="73" t="str">
        <f t="shared" si="10"/>
        <v>.</v>
      </c>
      <c r="M56" s="73" t="str">
        <f t="shared" si="11"/>
        <v>.</v>
      </c>
      <c r="N56" s="73">
        <f t="shared" si="25"/>
        <v>507.872296146205</v>
      </c>
      <c r="O56" s="73" t="str">
        <f t="shared" si="26"/>
        <v>.</v>
      </c>
      <c r="P56" s="73" t="str">
        <f t="shared" si="27"/>
        <v>.</v>
      </c>
      <c r="Q56" s="73" t="str">
        <f t="shared" si="28"/>
        <v>.</v>
      </c>
      <c r="R56" s="634" t="str">
        <f t="shared" si="29"/>
        <v>.</v>
      </c>
      <c r="T56" s="239"/>
      <c r="W56" s="222">
        <f t="shared" si="12"/>
        <v>992.6460997782937</v>
      </c>
      <c r="X56" s="1">
        <f t="shared" si="13"/>
        <v>0.9163999999999999</v>
      </c>
      <c r="Y56" s="1">
        <f t="shared" si="14"/>
        <v>0.8327999999999998</v>
      </c>
      <c r="Z56" s="1">
        <f t="shared" si="15"/>
        <v>1.153764936</v>
      </c>
      <c r="AA56" s="1">
        <f t="shared" si="16"/>
        <v>1.3844123400000004</v>
      </c>
      <c r="AB56" s="1">
        <f t="shared" si="17"/>
        <v>1.4107239999999999</v>
      </c>
      <c r="AC56" s="1">
        <f t="shared" si="18"/>
        <v>2.0268099999999993</v>
      </c>
      <c r="AI56" s="234">
        <f t="shared" si="30"/>
        <v>-23.18448949094838</v>
      </c>
      <c r="AJ56" s="235">
        <f t="shared" si="19"/>
        <v>100.33068708940984</v>
      </c>
      <c r="AK56" s="236">
        <f t="shared" si="20"/>
        <v>13.377424945254644</v>
      </c>
      <c r="AL56" s="548">
        <f t="shared" si="21"/>
        <v>992.6460997782937</v>
      </c>
      <c r="AM56" s="239"/>
      <c r="AN56" s="239"/>
    </row>
    <row r="57" spans="1:40" ht="12.75">
      <c r="A57" s="239"/>
      <c r="B57" s="633" t="s">
        <v>115</v>
      </c>
      <c r="C57" s="109">
        <v>11</v>
      </c>
      <c r="D57" s="233">
        <f t="shared" si="9"/>
        <v>356</v>
      </c>
      <c r="E57" s="157">
        <v>24</v>
      </c>
      <c r="F57" s="109">
        <v>0</v>
      </c>
      <c r="G57" s="109">
        <v>7</v>
      </c>
      <c r="H57" s="73">
        <f t="shared" si="22"/>
        <v>13.394929428344687</v>
      </c>
      <c r="I57" s="73"/>
      <c r="J57" s="73" t="str">
        <f t="shared" si="23"/>
        <v>.</v>
      </c>
      <c r="K57" s="73" t="str">
        <f t="shared" si="24"/>
        <v>.</v>
      </c>
      <c r="L57" s="73" t="str">
        <f t="shared" si="10"/>
        <v>.</v>
      </c>
      <c r="M57" s="73" t="str">
        <f t="shared" si="11"/>
        <v>.</v>
      </c>
      <c r="N57" s="73">
        <f t="shared" si="25"/>
        <v>508.08232702358924</v>
      </c>
      <c r="O57" s="73" t="str">
        <f t="shared" si="26"/>
        <v>.</v>
      </c>
      <c r="P57" s="73" t="str">
        <f t="shared" si="27"/>
        <v>.</v>
      </c>
      <c r="Q57" s="73" t="str">
        <f t="shared" si="28"/>
        <v>.</v>
      </c>
      <c r="R57" s="634" t="str">
        <f t="shared" si="29"/>
        <v>.</v>
      </c>
      <c r="T57" s="239"/>
      <c r="W57" s="222">
        <f t="shared" si="12"/>
        <v>993.7206711295191</v>
      </c>
      <c r="X57" s="1">
        <f t="shared" si="13"/>
        <v>0.9099999999999997</v>
      </c>
      <c r="Y57" s="1">
        <f t="shared" si="14"/>
        <v>0.8199999999999994</v>
      </c>
      <c r="Z57" s="1">
        <f t="shared" si="15"/>
        <v>1.156312</v>
      </c>
      <c r="AA57" s="1">
        <f t="shared" si="16"/>
        <v>1.3907800000000001</v>
      </c>
      <c r="AB57" s="1">
        <f t="shared" si="17"/>
        <v>1.4175999999999993</v>
      </c>
      <c r="AC57" s="1">
        <f t="shared" si="18"/>
        <v>2.0439999999999987</v>
      </c>
      <c r="AI57" s="234">
        <f t="shared" si="30"/>
        <v>-23.44457137142844</v>
      </c>
      <c r="AJ57" s="235">
        <f t="shared" si="19"/>
        <v>100.46197071258516</v>
      </c>
      <c r="AK57" s="236">
        <f t="shared" si="20"/>
        <v>13.394929428344687</v>
      </c>
      <c r="AL57" s="548">
        <f t="shared" si="21"/>
        <v>993.7206711295191</v>
      </c>
      <c r="AM57" s="239"/>
      <c r="AN57" s="239"/>
    </row>
    <row r="58" spans="1:40" ht="12.75">
      <c r="A58" s="239"/>
      <c r="B58" s="633">
        <v>1</v>
      </c>
      <c r="C58" s="109">
        <v>0</v>
      </c>
      <c r="D58" s="233">
        <f t="shared" si="9"/>
        <v>2</v>
      </c>
      <c r="E58" s="157">
        <v>1</v>
      </c>
      <c r="F58" s="109">
        <v>0</v>
      </c>
      <c r="G58" s="109">
        <v>7</v>
      </c>
      <c r="H58" s="73">
        <f t="shared" si="22"/>
        <v>13.360406002082119</v>
      </c>
      <c r="I58" s="73"/>
      <c r="J58" s="73" t="str">
        <f t="shared" si="23"/>
        <v>.</v>
      </c>
      <c r="K58" s="73" t="str">
        <f t="shared" si="24"/>
        <v>.</v>
      </c>
      <c r="L58" s="73" t="str">
        <f t="shared" si="10"/>
        <v>.</v>
      </c>
      <c r="M58" s="73" t="str">
        <f t="shared" si="11"/>
        <v>.</v>
      </c>
      <c r="N58" s="73">
        <f t="shared" si="25"/>
        <v>507.6577970054753</v>
      </c>
      <c r="O58" s="73" t="str">
        <f t="shared" si="26"/>
        <v>.</v>
      </c>
      <c r="P58" s="73" t="str">
        <f t="shared" si="27"/>
        <v>.</v>
      </c>
      <c r="Q58" s="73" t="str">
        <f t="shared" si="28"/>
        <v>.</v>
      </c>
      <c r="R58" s="634" t="str">
        <f t="shared" si="29"/>
        <v>.</v>
      </c>
      <c r="T58" s="239"/>
      <c r="W58" s="222">
        <f t="shared" si="12"/>
        <v>991.5809403704886</v>
      </c>
      <c r="X58" s="1">
        <f t="shared" si="13"/>
        <v>0.335</v>
      </c>
      <c r="Y58" s="1">
        <f t="shared" si="14"/>
        <v>-0.33</v>
      </c>
      <c r="Z58" s="1">
        <f t="shared" si="15"/>
        <v>-0.005009249999999999</v>
      </c>
      <c r="AA58" s="1">
        <f t="shared" si="16"/>
        <v>-1.0083149999999999</v>
      </c>
      <c r="AB58" s="1">
        <f t="shared" si="17"/>
        <v>-3.73475</v>
      </c>
      <c r="AC58" s="1">
        <f t="shared" si="18"/>
        <v>-8.4695</v>
      </c>
      <c r="AI58" s="234">
        <f t="shared" si="30"/>
        <v>-22.93054360830765</v>
      </c>
      <c r="AJ58" s="235">
        <f t="shared" si="19"/>
        <v>100.20304501561588</v>
      </c>
      <c r="AK58" s="236">
        <f t="shared" si="20"/>
        <v>13.360406002082119</v>
      </c>
      <c r="AL58" s="548">
        <f t="shared" si="21"/>
        <v>991.5809403704886</v>
      </c>
      <c r="AM58" s="239"/>
      <c r="AN58" s="239"/>
    </row>
    <row r="59" spans="1:40" ht="12.75">
      <c r="A59" s="239"/>
      <c r="B59" s="633">
        <v>1</v>
      </c>
      <c r="C59" s="109">
        <v>0</v>
      </c>
      <c r="D59" s="233">
        <f t="shared" si="9"/>
        <v>2</v>
      </c>
      <c r="E59" s="157">
        <v>1</v>
      </c>
      <c r="F59" s="109">
        <v>0</v>
      </c>
      <c r="G59" s="109">
        <v>7</v>
      </c>
      <c r="H59" s="73">
        <f t="shared" si="22"/>
        <v>13.360406002082119</v>
      </c>
      <c r="I59" s="73"/>
      <c r="J59" s="73" t="str">
        <f t="shared" si="23"/>
        <v>.</v>
      </c>
      <c r="K59" s="73" t="str">
        <f t="shared" si="24"/>
        <v>.</v>
      </c>
      <c r="L59" s="73" t="str">
        <f t="shared" si="10"/>
        <v>.</v>
      </c>
      <c r="M59" s="73" t="str">
        <f t="shared" si="11"/>
        <v>.</v>
      </c>
      <c r="N59" s="73">
        <f t="shared" si="25"/>
        <v>507.6577970054753</v>
      </c>
      <c r="O59" s="73" t="str">
        <f t="shared" si="26"/>
        <v>.</v>
      </c>
      <c r="P59" s="73" t="str">
        <f t="shared" si="27"/>
        <v>.</v>
      </c>
      <c r="Q59" s="73" t="str">
        <f t="shared" si="28"/>
        <v>.</v>
      </c>
      <c r="R59" s="634" t="str">
        <f t="shared" si="29"/>
        <v>.</v>
      </c>
      <c r="T59" s="239"/>
      <c r="W59" s="222">
        <f t="shared" si="12"/>
        <v>991.5809403704886</v>
      </c>
      <c r="X59" s="1">
        <f t="shared" si="13"/>
        <v>0.335</v>
      </c>
      <c r="Y59" s="1">
        <f t="shared" si="14"/>
        <v>-0.33</v>
      </c>
      <c r="Z59" s="1">
        <f t="shared" si="15"/>
        <v>-0.005009249999999999</v>
      </c>
      <c r="AA59" s="1">
        <f t="shared" si="16"/>
        <v>-1.0083149999999999</v>
      </c>
      <c r="AB59" s="1">
        <f t="shared" si="17"/>
        <v>-3.73475</v>
      </c>
      <c r="AC59" s="1">
        <f t="shared" si="18"/>
        <v>-8.4695</v>
      </c>
      <c r="AI59" s="234">
        <f t="shared" si="30"/>
        <v>-22.93054360830765</v>
      </c>
      <c r="AJ59" s="235">
        <f t="shared" si="19"/>
        <v>100.20304501561588</v>
      </c>
      <c r="AK59" s="236">
        <f t="shared" si="20"/>
        <v>13.360406002082119</v>
      </c>
      <c r="AL59" s="548">
        <f t="shared" si="21"/>
        <v>991.5809403704886</v>
      </c>
      <c r="AM59" s="239"/>
      <c r="AN59" s="239"/>
    </row>
    <row r="60" spans="1:40" ht="12.75">
      <c r="A60" s="239"/>
      <c r="B60" s="633">
        <v>1</v>
      </c>
      <c r="C60" s="109">
        <v>0</v>
      </c>
      <c r="D60" s="233">
        <f t="shared" si="9"/>
        <v>2</v>
      </c>
      <c r="E60" s="157">
        <v>1</v>
      </c>
      <c r="F60" s="109">
        <v>0</v>
      </c>
      <c r="G60" s="109">
        <v>7</v>
      </c>
      <c r="H60" s="73">
        <f t="shared" si="22"/>
        <v>13.360406002082119</v>
      </c>
      <c r="I60" s="73"/>
      <c r="J60" s="73" t="str">
        <f t="shared" si="23"/>
        <v>.</v>
      </c>
      <c r="K60" s="73" t="str">
        <f t="shared" si="24"/>
        <v>.</v>
      </c>
      <c r="L60" s="73" t="str">
        <f t="shared" si="10"/>
        <v>.</v>
      </c>
      <c r="M60" s="73" t="str">
        <f t="shared" si="11"/>
        <v>.</v>
      </c>
      <c r="N60" s="73">
        <f t="shared" si="25"/>
        <v>507.6577970054753</v>
      </c>
      <c r="O60" s="73" t="str">
        <f t="shared" si="26"/>
        <v>.</v>
      </c>
      <c r="P60" s="73" t="str">
        <f t="shared" si="27"/>
        <v>.</v>
      </c>
      <c r="Q60" s="73" t="str">
        <f t="shared" si="28"/>
        <v>.</v>
      </c>
      <c r="R60" s="634" t="str">
        <f t="shared" si="29"/>
        <v>.</v>
      </c>
      <c r="T60" s="239"/>
      <c r="W60" s="222">
        <f t="shared" si="12"/>
        <v>991.5809403704886</v>
      </c>
      <c r="X60" s="1">
        <f t="shared" si="13"/>
        <v>0.335</v>
      </c>
      <c r="Y60" s="1">
        <f t="shared" si="14"/>
        <v>-0.33</v>
      </c>
      <c r="Z60" s="1">
        <f t="shared" si="15"/>
        <v>-0.005009249999999999</v>
      </c>
      <c r="AA60" s="1">
        <f t="shared" si="16"/>
        <v>-1.0083149999999999</v>
      </c>
      <c r="AB60" s="1">
        <f t="shared" si="17"/>
        <v>-3.73475</v>
      </c>
      <c r="AC60" s="1">
        <f t="shared" si="18"/>
        <v>-8.4695</v>
      </c>
      <c r="AI60" s="234">
        <f t="shared" si="30"/>
        <v>-22.93054360830765</v>
      </c>
      <c r="AJ60" s="235">
        <f t="shared" si="19"/>
        <v>100.20304501561588</v>
      </c>
      <c r="AK60" s="236">
        <f t="shared" si="20"/>
        <v>13.360406002082119</v>
      </c>
      <c r="AL60" s="548">
        <f t="shared" si="21"/>
        <v>991.5809403704886</v>
      </c>
      <c r="AM60" s="239"/>
      <c r="AN60" s="239"/>
    </row>
    <row r="61" spans="1:40" ht="12.75">
      <c r="A61" s="239"/>
      <c r="B61" s="633">
        <v>1</v>
      </c>
      <c r="C61" s="109">
        <v>0</v>
      </c>
      <c r="D61" s="233">
        <f t="shared" si="9"/>
        <v>2</v>
      </c>
      <c r="E61" s="157">
        <v>1</v>
      </c>
      <c r="F61" s="109">
        <v>0</v>
      </c>
      <c r="G61" s="109">
        <v>7</v>
      </c>
      <c r="H61" s="73">
        <f t="shared" si="22"/>
        <v>13.360406002082119</v>
      </c>
      <c r="I61" s="73"/>
      <c r="J61" s="73" t="str">
        <f t="shared" si="23"/>
        <v>.</v>
      </c>
      <c r="K61" s="73" t="str">
        <f t="shared" si="24"/>
        <v>.</v>
      </c>
      <c r="L61" s="73" t="str">
        <f t="shared" si="10"/>
        <v>.</v>
      </c>
      <c r="M61" s="73" t="str">
        <f t="shared" si="11"/>
        <v>.</v>
      </c>
      <c r="N61" s="73">
        <f t="shared" si="25"/>
        <v>507.6577970054753</v>
      </c>
      <c r="O61" s="73" t="str">
        <f t="shared" si="26"/>
        <v>.</v>
      </c>
      <c r="P61" s="73" t="str">
        <f t="shared" si="27"/>
        <v>.</v>
      </c>
      <c r="Q61" s="73" t="str">
        <f t="shared" si="28"/>
        <v>.</v>
      </c>
      <c r="R61" s="634" t="str">
        <f t="shared" si="29"/>
        <v>.</v>
      </c>
      <c r="T61" s="239"/>
      <c r="W61" s="222">
        <f t="shared" si="12"/>
        <v>991.5809403704886</v>
      </c>
      <c r="X61" s="1">
        <f t="shared" si="13"/>
        <v>0.335</v>
      </c>
      <c r="Y61" s="1">
        <f t="shared" si="14"/>
        <v>-0.33</v>
      </c>
      <c r="Z61" s="1">
        <f t="shared" si="15"/>
        <v>-0.005009249999999999</v>
      </c>
      <c r="AA61" s="1">
        <f t="shared" si="16"/>
        <v>-1.0083149999999999</v>
      </c>
      <c r="AB61" s="1">
        <f t="shared" si="17"/>
        <v>-3.73475</v>
      </c>
      <c r="AC61" s="1">
        <f t="shared" si="18"/>
        <v>-8.4695</v>
      </c>
      <c r="AI61" s="234">
        <f t="shared" si="30"/>
        <v>-22.93054360830765</v>
      </c>
      <c r="AJ61" s="235">
        <f t="shared" si="19"/>
        <v>100.20304501561588</v>
      </c>
      <c r="AK61" s="236">
        <f t="shared" si="20"/>
        <v>13.360406002082119</v>
      </c>
      <c r="AL61" s="548">
        <f t="shared" si="21"/>
        <v>991.5809403704886</v>
      </c>
      <c r="AM61" s="239"/>
      <c r="AN61" s="239"/>
    </row>
    <row r="62" spans="1:40" ht="12.75">
      <c r="A62" s="239"/>
      <c r="B62" s="633">
        <v>1</v>
      </c>
      <c r="C62" s="109">
        <v>0</v>
      </c>
      <c r="D62" s="233">
        <f t="shared" si="9"/>
        <v>2</v>
      </c>
      <c r="E62" s="157">
        <v>1</v>
      </c>
      <c r="F62" s="109">
        <v>0</v>
      </c>
      <c r="G62" s="109">
        <v>7</v>
      </c>
      <c r="H62" s="73">
        <f t="shared" si="22"/>
        <v>13.360406002082119</v>
      </c>
      <c r="I62" s="73"/>
      <c r="J62" s="73" t="str">
        <f t="shared" si="23"/>
        <v>.</v>
      </c>
      <c r="K62" s="73" t="str">
        <f t="shared" si="24"/>
        <v>.</v>
      </c>
      <c r="L62" s="73" t="str">
        <f t="shared" si="10"/>
        <v>.</v>
      </c>
      <c r="M62" s="73" t="str">
        <f t="shared" si="11"/>
        <v>.</v>
      </c>
      <c r="N62" s="73">
        <f t="shared" si="25"/>
        <v>507.6577970054753</v>
      </c>
      <c r="O62" s="73" t="str">
        <f t="shared" si="26"/>
        <v>.</v>
      </c>
      <c r="P62" s="73" t="str">
        <f t="shared" si="27"/>
        <v>.</v>
      </c>
      <c r="Q62" s="73" t="str">
        <f t="shared" si="28"/>
        <v>.</v>
      </c>
      <c r="R62" s="634" t="str">
        <f t="shared" si="29"/>
        <v>.</v>
      </c>
      <c r="T62" s="239"/>
      <c r="W62" s="222">
        <f t="shared" si="12"/>
        <v>991.5809403704886</v>
      </c>
      <c r="X62" s="1">
        <f t="shared" si="13"/>
        <v>0.335</v>
      </c>
      <c r="Y62" s="1">
        <f t="shared" si="14"/>
        <v>-0.33</v>
      </c>
      <c r="Z62" s="1">
        <f t="shared" si="15"/>
        <v>-0.005009249999999999</v>
      </c>
      <c r="AA62" s="1">
        <f t="shared" si="16"/>
        <v>-1.0083149999999999</v>
      </c>
      <c r="AB62" s="1">
        <f t="shared" si="17"/>
        <v>-3.73475</v>
      </c>
      <c r="AC62" s="1">
        <f t="shared" si="18"/>
        <v>-8.4695</v>
      </c>
      <c r="AI62" s="234">
        <f t="shared" si="30"/>
        <v>-22.93054360830765</v>
      </c>
      <c r="AJ62" s="235">
        <f t="shared" si="19"/>
        <v>100.20304501561588</v>
      </c>
      <c r="AK62" s="236">
        <f t="shared" si="20"/>
        <v>13.360406002082119</v>
      </c>
      <c r="AL62" s="548">
        <f t="shared" si="21"/>
        <v>991.5809403704886</v>
      </c>
      <c r="AM62" s="239"/>
      <c r="AN62" s="239"/>
    </row>
    <row r="63" spans="1:40" ht="12.75">
      <c r="A63" s="239"/>
      <c r="B63" s="633">
        <v>1</v>
      </c>
      <c r="C63" s="109">
        <v>0</v>
      </c>
      <c r="D63" s="233">
        <f t="shared" si="9"/>
        <v>2</v>
      </c>
      <c r="E63" s="157">
        <v>1</v>
      </c>
      <c r="F63" s="109">
        <v>0</v>
      </c>
      <c r="G63" s="109">
        <v>7</v>
      </c>
      <c r="H63" s="73">
        <f t="shared" si="22"/>
        <v>13.360406002082119</v>
      </c>
      <c r="I63" s="73"/>
      <c r="J63" s="73" t="str">
        <f t="shared" si="23"/>
        <v>.</v>
      </c>
      <c r="K63" s="73" t="str">
        <f t="shared" si="24"/>
        <v>.</v>
      </c>
      <c r="L63" s="73" t="str">
        <f t="shared" si="10"/>
        <v>.</v>
      </c>
      <c r="M63" s="73" t="str">
        <f t="shared" si="11"/>
        <v>.</v>
      </c>
      <c r="N63" s="73">
        <f t="shared" si="25"/>
        <v>507.6577970054753</v>
      </c>
      <c r="O63" s="73" t="str">
        <f t="shared" si="26"/>
        <v>.</v>
      </c>
      <c r="P63" s="73" t="str">
        <f t="shared" si="27"/>
        <v>.</v>
      </c>
      <c r="Q63" s="73" t="str">
        <f t="shared" si="28"/>
        <v>.</v>
      </c>
      <c r="R63" s="634" t="str">
        <f t="shared" si="29"/>
        <v>.</v>
      </c>
      <c r="T63" s="239"/>
      <c r="W63" s="222">
        <f t="shared" si="12"/>
        <v>991.5809403704886</v>
      </c>
      <c r="X63" s="1">
        <f t="shared" si="13"/>
        <v>0.335</v>
      </c>
      <c r="Y63" s="1">
        <f t="shared" si="14"/>
        <v>-0.33</v>
      </c>
      <c r="Z63" s="1">
        <f t="shared" si="15"/>
        <v>-0.005009249999999999</v>
      </c>
      <c r="AA63" s="1">
        <f t="shared" si="16"/>
        <v>-1.0083149999999999</v>
      </c>
      <c r="AB63" s="1">
        <f t="shared" si="17"/>
        <v>-3.73475</v>
      </c>
      <c r="AC63" s="1">
        <f t="shared" si="18"/>
        <v>-8.4695</v>
      </c>
      <c r="AI63" s="234">
        <f t="shared" si="30"/>
        <v>-22.93054360830765</v>
      </c>
      <c r="AJ63" s="235">
        <f t="shared" si="19"/>
        <v>100.20304501561588</v>
      </c>
      <c r="AK63" s="236">
        <f t="shared" si="20"/>
        <v>13.360406002082119</v>
      </c>
      <c r="AL63" s="548">
        <f t="shared" si="21"/>
        <v>991.5809403704886</v>
      </c>
      <c r="AM63" s="239"/>
      <c r="AN63" s="239"/>
    </row>
    <row r="64" spans="1:40" ht="12.75">
      <c r="A64" s="239"/>
      <c r="B64" s="633">
        <v>1</v>
      </c>
      <c r="C64" s="109">
        <v>0</v>
      </c>
      <c r="D64" s="233">
        <f t="shared" si="9"/>
        <v>2</v>
      </c>
      <c r="E64" s="157">
        <v>1</v>
      </c>
      <c r="F64" s="109">
        <v>0</v>
      </c>
      <c r="G64" s="109">
        <v>7</v>
      </c>
      <c r="H64" s="73">
        <f t="shared" si="22"/>
        <v>13.360406002082119</v>
      </c>
      <c r="I64" s="73"/>
      <c r="J64" s="73" t="str">
        <f t="shared" si="23"/>
        <v>.</v>
      </c>
      <c r="K64" s="73" t="str">
        <f t="shared" si="24"/>
        <v>.</v>
      </c>
      <c r="L64" s="73" t="str">
        <f t="shared" si="10"/>
        <v>.</v>
      </c>
      <c r="M64" s="73" t="str">
        <f t="shared" si="11"/>
        <v>.</v>
      </c>
      <c r="N64" s="73">
        <f t="shared" si="25"/>
        <v>507.6577970054753</v>
      </c>
      <c r="O64" s="73" t="str">
        <f t="shared" si="26"/>
        <v>.</v>
      </c>
      <c r="P64" s="73" t="str">
        <f t="shared" si="27"/>
        <v>.</v>
      </c>
      <c r="Q64" s="73" t="str">
        <f t="shared" si="28"/>
        <v>.</v>
      </c>
      <c r="R64" s="634" t="str">
        <f t="shared" si="29"/>
        <v>.</v>
      </c>
      <c r="T64" s="239"/>
      <c r="W64" s="222">
        <f t="shared" si="12"/>
        <v>991.5809403704886</v>
      </c>
      <c r="X64" s="1">
        <f t="shared" si="13"/>
        <v>0.335</v>
      </c>
      <c r="Y64" s="1">
        <f t="shared" si="14"/>
        <v>-0.33</v>
      </c>
      <c r="Z64" s="1">
        <f t="shared" si="15"/>
        <v>-0.005009249999999999</v>
      </c>
      <c r="AA64" s="1">
        <f t="shared" si="16"/>
        <v>-1.0083149999999999</v>
      </c>
      <c r="AB64" s="1">
        <f t="shared" si="17"/>
        <v>-3.73475</v>
      </c>
      <c r="AC64" s="1">
        <f t="shared" si="18"/>
        <v>-8.4695</v>
      </c>
      <c r="AI64" s="234">
        <f t="shared" si="30"/>
        <v>-22.93054360830765</v>
      </c>
      <c r="AJ64" s="235">
        <f t="shared" si="19"/>
        <v>100.20304501561588</v>
      </c>
      <c r="AK64" s="236">
        <f t="shared" si="20"/>
        <v>13.360406002082119</v>
      </c>
      <c r="AL64" s="548">
        <f t="shared" si="21"/>
        <v>991.5809403704886</v>
      </c>
      <c r="AM64" s="239"/>
      <c r="AN64" s="239"/>
    </row>
    <row r="65" spans="1:40" ht="12.75">
      <c r="A65" s="239"/>
      <c r="B65" s="633">
        <v>1</v>
      </c>
      <c r="C65" s="109">
        <v>0</v>
      </c>
      <c r="D65" s="233">
        <f t="shared" si="9"/>
        <v>2</v>
      </c>
      <c r="E65" s="157">
        <v>1</v>
      </c>
      <c r="F65" s="109">
        <v>0</v>
      </c>
      <c r="G65" s="109">
        <v>7</v>
      </c>
      <c r="H65" s="73">
        <f t="shared" si="22"/>
        <v>13.360406002082119</v>
      </c>
      <c r="I65" s="73"/>
      <c r="J65" s="73" t="str">
        <f t="shared" si="23"/>
        <v>.</v>
      </c>
      <c r="K65" s="73" t="str">
        <f t="shared" si="24"/>
        <v>.</v>
      </c>
      <c r="L65" s="73" t="str">
        <f t="shared" si="10"/>
        <v>.</v>
      </c>
      <c r="M65" s="73" t="str">
        <f t="shared" si="11"/>
        <v>.</v>
      </c>
      <c r="N65" s="73">
        <f t="shared" si="25"/>
        <v>507.6577970054753</v>
      </c>
      <c r="O65" s="73" t="str">
        <f t="shared" si="26"/>
        <v>.</v>
      </c>
      <c r="P65" s="73" t="str">
        <f t="shared" si="27"/>
        <v>.</v>
      </c>
      <c r="Q65" s="73" t="str">
        <f t="shared" si="28"/>
        <v>.</v>
      </c>
      <c r="R65" s="634" t="str">
        <f t="shared" si="29"/>
        <v>.</v>
      </c>
      <c r="T65" s="239"/>
      <c r="W65" s="222">
        <f t="shared" si="12"/>
        <v>991.5809403704886</v>
      </c>
      <c r="X65" s="1">
        <f t="shared" si="13"/>
        <v>0.335</v>
      </c>
      <c r="Y65" s="1">
        <f t="shared" si="14"/>
        <v>-0.33</v>
      </c>
      <c r="Z65" s="1">
        <f t="shared" si="15"/>
        <v>-0.005009249999999999</v>
      </c>
      <c r="AA65" s="1">
        <f t="shared" si="16"/>
        <v>-1.0083149999999999</v>
      </c>
      <c r="AB65" s="1">
        <f t="shared" si="17"/>
        <v>-3.73475</v>
      </c>
      <c r="AC65" s="1">
        <f t="shared" si="18"/>
        <v>-8.4695</v>
      </c>
      <c r="AI65" s="234">
        <f t="shared" si="30"/>
        <v>-22.93054360830765</v>
      </c>
      <c r="AJ65" s="235">
        <f t="shared" si="19"/>
        <v>100.20304501561588</v>
      </c>
      <c r="AK65" s="236">
        <f t="shared" si="20"/>
        <v>13.360406002082119</v>
      </c>
      <c r="AL65" s="548">
        <f t="shared" si="21"/>
        <v>991.5809403704886</v>
      </c>
      <c r="AM65" s="239"/>
      <c r="AN65" s="239"/>
    </row>
    <row r="66" spans="1:40" ht="12.75">
      <c r="A66" s="239"/>
      <c r="B66" s="633">
        <v>1</v>
      </c>
      <c r="C66" s="109">
        <v>0</v>
      </c>
      <c r="D66" s="233">
        <f t="shared" si="9"/>
        <v>2</v>
      </c>
      <c r="E66" s="157">
        <v>1</v>
      </c>
      <c r="F66" s="109">
        <v>0</v>
      </c>
      <c r="G66" s="109">
        <v>7</v>
      </c>
      <c r="H66" s="73">
        <f t="shared" si="22"/>
        <v>13.360406002082119</v>
      </c>
      <c r="I66" s="73"/>
      <c r="J66" s="73" t="str">
        <f t="shared" si="23"/>
        <v>.</v>
      </c>
      <c r="K66" s="73" t="str">
        <f t="shared" si="24"/>
        <v>.</v>
      </c>
      <c r="L66" s="73" t="str">
        <f t="shared" si="10"/>
        <v>.</v>
      </c>
      <c r="M66" s="73" t="str">
        <f t="shared" si="11"/>
        <v>.</v>
      </c>
      <c r="N66" s="73">
        <f t="shared" si="25"/>
        <v>507.6577970054753</v>
      </c>
      <c r="O66" s="73" t="str">
        <f t="shared" si="26"/>
        <v>.</v>
      </c>
      <c r="P66" s="73" t="str">
        <f t="shared" si="27"/>
        <v>.</v>
      </c>
      <c r="Q66" s="73" t="str">
        <f t="shared" si="28"/>
        <v>.</v>
      </c>
      <c r="R66" s="634" t="str">
        <f t="shared" si="29"/>
        <v>.</v>
      </c>
      <c r="T66" s="239"/>
      <c r="W66" s="222">
        <f t="shared" si="12"/>
        <v>991.5809403704886</v>
      </c>
      <c r="X66" s="1">
        <f t="shared" si="13"/>
        <v>0.335</v>
      </c>
      <c r="Y66" s="1">
        <f t="shared" si="14"/>
        <v>-0.33</v>
      </c>
      <c r="Z66" s="1">
        <f t="shared" si="15"/>
        <v>-0.005009249999999999</v>
      </c>
      <c r="AA66" s="1">
        <f t="shared" si="16"/>
        <v>-1.0083149999999999</v>
      </c>
      <c r="AB66" s="1">
        <f t="shared" si="17"/>
        <v>-3.73475</v>
      </c>
      <c r="AC66" s="1">
        <f t="shared" si="18"/>
        <v>-8.4695</v>
      </c>
      <c r="AI66" s="234">
        <f t="shared" si="30"/>
        <v>-22.93054360830765</v>
      </c>
      <c r="AJ66" s="235">
        <f t="shared" si="19"/>
        <v>100.20304501561588</v>
      </c>
      <c r="AK66" s="236">
        <f t="shared" si="20"/>
        <v>13.360406002082119</v>
      </c>
      <c r="AL66" s="548">
        <f t="shared" si="21"/>
        <v>991.5809403704886</v>
      </c>
      <c r="AM66" s="239"/>
      <c r="AN66" s="239"/>
    </row>
    <row r="67" spans="1:40" ht="12.75">
      <c r="A67" s="239"/>
      <c r="B67" s="633">
        <v>1</v>
      </c>
      <c r="C67" s="109">
        <v>0</v>
      </c>
      <c r="D67" s="233">
        <f t="shared" si="9"/>
        <v>2</v>
      </c>
      <c r="E67" s="157">
        <v>1</v>
      </c>
      <c r="F67" s="109">
        <v>0</v>
      </c>
      <c r="G67" s="109">
        <v>7</v>
      </c>
      <c r="H67" s="73">
        <f t="shared" si="22"/>
        <v>13.360406002082119</v>
      </c>
      <c r="I67" s="73"/>
      <c r="J67" s="73" t="str">
        <f t="shared" si="23"/>
        <v>.</v>
      </c>
      <c r="K67" s="73" t="str">
        <f t="shared" si="24"/>
        <v>.</v>
      </c>
      <c r="L67" s="73" t="str">
        <f t="shared" si="10"/>
        <v>.</v>
      </c>
      <c r="M67" s="73" t="str">
        <f t="shared" si="11"/>
        <v>.</v>
      </c>
      <c r="N67" s="73">
        <f t="shared" si="25"/>
        <v>507.6577970054753</v>
      </c>
      <c r="O67" s="73" t="str">
        <f t="shared" si="26"/>
        <v>.</v>
      </c>
      <c r="P67" s="73" t="str">
        <f t="shared" si="27"/>
        <v>.</v>
      </c>
      <c r="Q67" s="73" t="str">
        <f t="shared" si="28"/>
        <v>.</v>
      </c>
      <c r="R67" s="634" t="str">
        <f t="shared" si="29"/>
        <v>.</v>
      </c>
      <c r="T67" s="239"/>
      <c r="W67" s="222">
        <f t="shared" si="12"/>
        <v>991.5809403704886</v>
      </c>
      <c r="X67" s="1">
        <f t="shared" si="13"/>
        <v>0.335</v>
      </c>
      <c r="Y67" s="1">
        <f t="shared" si="14"/>
        <v>-0.33</v>
      </c>
      <c r="Z67" s="1">
        <f t="shared" si="15"/>
        <v>-0.005009249999999999</v>
      </c>
      <c r="AA67" s="1">
        <f t="shared" si="16"/>
        <v>-1.0083149999999999</v>
      </c>
      <c r="AB67" s="1">
        <f t="shared" si="17"/>
        <v>-3.73475</v>
      </c>
      <c r="AC67" s="1">
        <f t="shared" si="18"/>
        <v>-8.4695</v>
      </c>
      <c r="AI67" s="234">
        <f t="shared" si="30"/>
        <v>-22.93054360830765</v>
      </c>
      <c r="AJ67" s="235">
        <f t="shared" si="19"/>
        <v>100.20304501561588</v>
      </c>
      <c r="AK67" s="236">
        <f t="shared" si="20"/>
        <v>13.360406002082119</v>
      </c>
      <c r="AL67" s="548">
        <f t="shared" si="21"/>
        <v>991.5809403704886</v>
      </c>
      <c r="AM67" s="239"/>
      <c r="AN67" s="239"/>
    </row>
    <row r="68" spans="1:40" ht="12.75">
      <c r="A68" s="239"/>
      <c r="B68" s="633">
        <v>1</v>
      </c>
      <c r="C68" s="109">
        <v>0</v>
      </c>
      <c r="D68" s="233">
        <f t="shared" si="9"/>
        <v>2</v>
      </c>
      <c r="E68" s="157">
        <v>1</v>
      </c>
      <c r="F68" s="109">
        <v>0</v>
      </c>
      <c r="G68" s="109">
        <v>7</v>
      </c>
      <c r="H68" s="73">
        <f t="shared" si="22"/>
        <v>13.360406002082119</v>
      </c>
      <c r="I68" s="73"/>
      <c r="J68" s="73" t="str">
        <f t="shared" si="23"/>
        <v>.</v>
      </c>
      <c r="K68" s="73" t="str">
        <f t="shared" si="24"/>
        <v>.</v>
      </c>
      <c r="L68" s="73" t="str">
        <f t="shared" si="10"/>
        <v>.</v>
      </c>
      <c r="M68" s="73" t="str">
        <f t="shared" si="11"/>
        <v>.</v>
      </c>
      <c r="N68" s="73">
        <f t="shared" si="25"/>
        <v>507.6577970054753</v>
      </c>
      <c r="O68" s="73" t="str">
        <f t="shared" si="26"/>
        <v>.</v>
      </c>
      <c r="P68" s="73" t="str">
        <f t="shared" si="27"/>
        <v>.</v>
      </c>
      <c r="Q68" s="73" t="str">
        <f t="shared" si="28"/>
        <v>.</v>
      </c>
      <c r="R68" s="634" t="str">
        <f t="shared" si="29"/>
        <v>.</v>
      </c>
      <c r="T68" s="239"/>
      <c r="W68" s="222">
        <f t="shared" si="12"/>
        <v>991.5809403704886</v>
      </c>
      <c r="X68" s="1">
        <f t="shared" si="13"/>
        <v>0.335</v>
      </c>
      <c r="Y68" s="1">
        <f t="shared" si="14"/>
        <v>-0.33</v>
      </c>
      <c r="Z68" s="1">
        <f t="shared" si="15"/>
        <v>-0.005009249999999999</v>
      </c>
      <c r="AA68" s="1">
        <f t="shared" si="16"/>
        <v>-1.0083149999999999</v>
      </c>
      <c r="AB68" s="1">
        <f t="shared" si="17"/>
        <v>-3.73475</v>
      </c>
      <c r="AC68" s="1">
        <f t="shared" si="18"/>
        <v>-8.4695</v>
      </c>
      <c r="AI68" s="234">
        <f t="shared" si="30"/>
        <v>-22.93054360830765</v>
      </c>
      <c r="AJ68" s="235">
        <f t="shared" si="19"/>
        <v>100.20304501561588</v>
      </c>
      <c r="AK68" s="236">
        <f t="shared" si="20"/>
        <v>13.360406002082119</v>
      </c>
      <c r="AL68" s="548">
        <f t="shared" si="21"/>
        <v>991.5809403704886</v>
      </c>
      <c r="AM68" s="239"/>
      <c r="AN68" s="239"/>
    </row>
    <row r="69" spans="1:40" ht="12.75">
      <c r="A69" s="239"/>
      <c r="B69" s="633">
        <v>1</v>
      </c>
      <c r="C69" s="109">
        <v>0</v>
      </c>
      <c r="D69" s="233">
        <f t="shared" si="9"/>
        <v>2</v>
      </c>
      <c r="E69" s="157">
        <v>1</v>
      </c>
      <c r="F69" s="109">
        <v>0</v>
      </c>
      <c r="G69" s="109">
        <v>7</v>
      </c>
      <c r="H69" s="73">
        <f t="shared" si="22"/>
        <v>13.360406002082119</v>
      </c>
      <c r="I69" s="73"/>
      <c r="J69" s="73" t="str">
        <f t="shared" si="23"/>
        <v>.</v>
      </c>
      <c r="K69" s="73" t="str">
        <f t="shared" si="24"/>
        <v>.</v>
      </c>
      <c r="L69" s="73" t="str">
        <f t="shared" si="10"/>
        <v>.</v>
      </c>
      <c r="M69" s="73" t="str">
        <f t="shared" si="11"/>
        <v>.</v>
      </c>
      <c r="N69" s="73">
        <f t="shared" si="25"/>
        <v>507.6577970054753</v>
      </c>
      <c r="O69" s="73" t="str">
        <f t="shared" si="26"/>
        <v>.</v>
      </c>
      <c r="P69" s="73" t="str">
        <f t="shared" si="27"/>
        <v>.</v>
      </c>
      <c r="Q69" s="73" t="str">
        <f t="shared" si="28"/>
        <v>.</v>
      </c>
      <c r="R69" s="634" t="str">
        <f t="shared" si="29"/>
        <v>.</v>
      </c>
      <c r="T69" s="239"/>
      <c r="W69" s="222">
        <f t="shared" si="12"/>
        <v>991.5809403704886</v>
      </c>
      <c r="X69" s="1">
        <f t="shared" si="13"/>
        <v>0.335</v>
      </c>
      <c r="Y69" s="1">
        <f t="shared" si="14"/>
        <v>-0.33</v>
      </c>
      <c r="Z69" s="1">
        <f t="shared" si="15"/>
        <v>-0.005009249999999999</v>
      </c>
      <c r="AA69" s="1">
        <f t="shared" si="16"/>
        <v>-1.0083149999999999</v>
      </c>
      <c r="AB69" s="1">
        <f t="shared" si="17"/>
        <v>-3.73475</v>
      </c>
      <c r="AC69" s="1">
        <f t="shared" si="18"/>
        <v>-8.4695</v>
      </c>
      <c r="AI69" s="234">
        <f t="shared" si="30"/>
        <v>-22.93054360830765</v>
      </c>
      <c r="AJ69" s="235">
        <f t="shared" si="19"/>
        <v>100.20304501561588</v>
      </c>
      <c r="AK69" s="236">
        <f t="shared" si="20"/>
        <v>13.360406002082119</v>
      </c>
      <c r="AL69" s="548">
        <f t="shared" si="21"/>
        <v>991.5809403704886</v>
      </c>
      <c r="AM69" s="239"/>
      <c r="AN69" s="239"/>
    </row>
    <row r="70" spans="1:40" ht="12.75">
      <c r="A70" s="239"/>
      <c r="B70" s="633">
        <v>1</v>
      </c>
      <c r="C70" s="109">
        <v>0</v>
      </c>
      <c r="D70" s="233">
        <f t="shared" si="9"/>
        <v>2</v>
      </c>
      <c r="E70" s="157">
        <v>1</v>
      </c>
      <c r="F70" s="109">
        <v>0</v>
      </c>
      <c r="G70" s="109">
        <v>7</v>
      </c>
      <c r="H70" s="73">
        <f t="shared" si="22"/>
        <v>13.360406002082119</v>
      </c>
      <c r="I70" s="73"/>
      <c r="J70" s="73" t="str">
        <f t="shared" si="23"/>
        <v>.</v>
      </c>
      <c r="K70" s="73" t="str">
        <f t="shared" si="24"/>
        <v>.</v>
      </c>
      <c r="L70" s="73" t="str">
        <f t="shared" si="10"/>
        <v>.</v>
      </c>
      <c r="M70" s="73" t="str">
        <f t="shared" si="11"/>
        <v>.</v>
      </c>
      <c r="N70" s="73">
        <f t="shared" si="25"/>
        <v>507.6577970054753</v>
      </c>
      <c r="O70" s="73" t="str">
        <f t="shared" si="26"/>
        <v>.</v>
      </c>
      <c r="P70" s="73" t="str">
        <f t="shared" si="27"/>
        <v>.</v>
      </c>
      <c r="Q70" s="73" t="str">
        <f t="shared" si="28"/>
        <v>.</v>
      </c>
      <c r="R70" s="634" t="str">
        <f t="shared" si="29"/>
        <v>.</v>
      </c>
      <c r="T70" s="239"/>
      <c r="W70" s="222">
        <f t="shared" si="12"/>
        <v>991.5809403704886</v>
      </c>
      <c r="X70" s="1">
        <f t="shared" si="13"/>
        <v>0.335</v>
      </c>
      <c r="Y70" s="1">
        <f t="shared" si="14"/>
        <v>-0.33</v>
      </c>
      <c r="Z70" s="1">
        <f t="shared" si="15"/>
        <v>-0.005009249999999999</v>
      </c>
      <c r="AA70" s="1">
        <f t="shared" si="16"/>
        <v>-1.0083149999999999</v>
      </c>
      <c r="AB70" s="1">
        <f t="shared" si="17"/>
        <v>-3.73475</v>
      </c>
      <c r="AC70" s="1">
        <f t="shared" si="18"/>
        <v>-8.4695</v>
      </c>
      <c r="AI70" s="234">
        <f t="shared" si="30"/>
        <v>-22.93054360830765</v>
      </c>
      <c r="AJ70" s="235">
        <f t="shared" si="19"/>
        <v>100.20304501561588</v>
      </c>
      <c r="AK70" s="236">
        <f t="shared" si="20"/>
        <v>13.360406002082119</v>
      </c>
      <c r="AL70" s="548">
        <f t="shared" si="21"/>
        <v>991.5809403704886</v>
      </c>
      <c r="AM70" s="239"/>
      <c r="AN70" s="239"/>
    </row>
    <row r="71" spans="1:40" ht="12.75">
      <c r="A71" s="239"/>
      <c r="B71" s="633">
        <v>1</v>
      </c>
      <c r="C71" s="109">
        <v>0</v>
      </c>
      <c r="D71" s="233">
        <f t="shared" si="9"/>
        <v>2</v>
      </c>
      <c r="E71" s="157">
        <v>1</v>
      </c>
      <c r="F71" s="109">
        <v>0</v>
      </c>
      <c r="G71" s="109">
        <v>7</v>
      </c>
      <c r="H71" s="73">
        <f t="shared" si="22"/>
        <v>13.360406002082119</v>
      </c>
      <c r="I71" s="73"/>
      <c r="J71" s="73" t="str">
        <f t="shared" si="23"/>
        <v>.</v>
      </c>
      <c r="K71" s="73" t="str">
        <f t="shared" si="24"/>
        <v>.</v>
      </c>
      <c r="L71" s="73" t="str">
        <f t="shared" si="10"/>
        <v>.</v>
      </c>
      <c r="M71" s="73" t="str">
        <f t="shared" si="11"/>
        <v>.</v>
      </c>
      <c r="N71" s="73">
        <f t="shared" si="25"/>
        <v>507.6577970054753</v>
      </c>
      <c r="O71" s="73" t="str">
        <f t="shared" si="26"/>
        <v>.</v>
      </c>
      <c r="P71" s="73" t="str">
        <f t="shared" si="27"/>
        <v>.</v>
      </c>
      <c r="Q71" s="73" t="str">
        <f t="shared" si="28"/>
        <v>.</v>
      </c>
      <c r="R71" s="634" t="str">
        <f t="shared" si="29"/>
        <v>.</v>
      </c>
      <c r="T71" s="239"/>
      <c r="W71" s="222">
        <f t="shared" si="12"/>
        <v>991.5809403704886</v>
      </c>
      <c r="X71" s="1">
        <f t="shared" si="13"/>
        <v>0.335</v>
      </c>
      <c r="Y71" s="1">
        <f t="shared" si="14"/>
        <v>-0.33</v>
      </c>
      <c r="Z71" s="1">
        <f t="shared" si="15"/>
        <v>-0.005009249999999999</v>
      </c>
      <c r="AA71" s="1">
        <f t="shared" si="16"/>
        <v>-1.0083149999999999</v>
      </c>
      <c r="AB71" s="1">
        <f t="shared" si="17"/>
        <v>-3.73475</v>
      </c>
      <c r="AC71" s="1">
        <f t="shared" si="18"/>
        <v>-8.4695</v>
      </c>
      <c r="AI71" s="234">
        <f t="shared" si="30"/>
        <v>-22.93054360830765</v>
      </c>
      <c r="AJ71" s="235">
        <f t="shared" si="19"/>
        <v>100.20304501561588</v>
      </c>
      <c r="AK71" s="236">
        <f t="shared" si="20"/>
        <v>13.360406002082119</v>
      </c>
      <c r="AL71" s="548">
        <f t="shared" si="21"/>
        <v>991.5809403704886</v>
      </c>
      <c r="AM71" s="239"/>
      <c r="AN71" s="239"/>
    </row>
    <row r="72" spans="1:40" ht="12.75">
      <c r="A72" s="239"/>
      <c r="B72" s="633">
        <v>1</v>
      </c>
      <c r="C72" s="109">
        <v>0</v>
      </c>
      <c r="D72" s="233">
        <f t="shared" si="9"/>
        <v>2</v>
      </c>
      <c r="E72" s="157">
        <v>1</v>
      </c>
      <c r="F72" s="109">
        <v>0</v>
      </c>
      <c r="G72" s="109">
        <v>7</v>
      </c>
      <c r="H72" s="73">
        <f t="shared" si="22"/>
        <v>13.360406002082119</v>
      </c>
      <c r="I72" s="73"/>
      <c r="J72" s="73" t="str">
        <f t="shared" si="23"/>
        <v>.</v>
      </c>
      <c r="K72" s="73" t="str">
        <f t="shared" si="24"/>
        <v>.</v>
      </c>
      <c r="L72" s="73" t="str">
        <f t="shared" si="10"/>
        <v>.</v>
      </c>
      <c r="M72" s="73" t="str">
        <f t="shared" si="11"/>
        <v>.</v>
      </c>
      <c r="N72" s="73">
        <f t="shared" si="25"/>
        <v>507.6577970054753</v>
      </c>
      <c r="O72" s="73" t="str">
        <f t="shared" si="26"/>
        <v>.</v>
      </c>
      <c r="P72" s="73" t="str">
        <f t="shared" si="27"/>
        <v>.</v>
      </c>
      <c r="Q72" s="73" t="str">
        <f t="shared" si="28"/>
        <v>.</v>
      </c>
      <c r="R72" s="634" t="str">
        <f t="shared" si="29"/>
        <v>.</v>
      </c>
      <c r="T72" s="239"/>
      <c r="W72" s="222">
        <f t="shared" si="12"/>
        <v>991.5809403704886</v>
      </c>
      <c r="X72" s="1">
        <f t="shared" si="13"/>
        <v>0.335</v>
      </c>
      <c r="Y72" s="1">
        <f t="shared" si="14"/>
        <v>-0.33</v>
      </c>
      <c r="Z72" s="1">
        <f t="shared" si="15"/>
        <v>-0.005009249999999999</v>
      </c>
      <c r="AA72" s="1">
        <f t="shared" si="16"/>
        <v>-1.0083149999999999</v>
      </c>
      <c r="AB72" s="1">
        <f t="shared" si="17"/>
        <v>-3.73475</v>
      </c>
      <c r="AC72" s="1">
        <f t="shared" si="18"/>
        <v>-8.4695</v>
      </c>
      <c r="AI72" s="234">
        <f t="shared" si="30"/>
        <v>-22.93054360830765</v>
      </c>
      <c r="AJ72" s="235">
        <f t="shared" si="19"/>
        <v>100.20304501561588</v>
      </c>
      <c r="AK72" s="236">
        <f t="shared" si="20"/>
        <v>13.360406002082119</v>
      </c>
      <c r="AL72" s="548">
        <f t="shared" si="21"/>
        <v>991.5809403704886</v>
      </c>
      <c r="AM72" s="239"/>
      <c r="AN72" s="239"/>
    </row>
    <row r="73" spans="1:40" ht="12.75">
      <c r="A73" s="239"/>
      <c r="B73" s="633">
        <v>1</v>
      </c>
      <c r="C73" s="109">
        <v>0</v>
      </c>
      <c r="D73" s="233">
        <f t="shared" si="9"/>
        <v>2</v>
      </c>
      <c r="E73" s="157">
        <v>1</v>
      </c>
      <c r="F73" s="109">
        <v>0</v>
      </c>
      <c r="G73" s="109">
        <v>7</v>
      </c>
      <c r="H73" s="73">
        <f t="shared" si="22"/>
        <v>13.360406002082119</v>
      </c>
      <c r="I73" s="73"/>
      <c r="J73" s="73" t="str">
        <f t="shared" si="23"/>
        <v>.</v>
      </c>
      <c r="K73" s="73" t="str">
        <f t="shared" si="24"/>
        <v>.</v>
      </c>
      <c r="L73" s="73" t="str">
        <f t="shared" si="10"/>
        <v>.</v>
      </c>
      <c r="M73" s="73" t="str">
        <f t="shared" si="11"/>
        <v>.</v>
      </c>
      <c r="N73" s="73">
        <f t="shared" si="25"/>
        <v>507.6577970054753</v>
      </c>
      <c r="O73" s="73" t="str">
        <f t="shared" si="26"/>
        <v>.</v>
      </c>
      <c r="P73" s="73" t="str">
        <f t="shared" si="27"/>
        <v>.</v>
      </c>
      <c r="Q73" s="73" t="str">
        <f t="shared" si="28"/>
        <v>.</v>
      </c>
      <c r="R73" s="634" t="str">
        <f t="shared" si="29"/>
        <v>.</v>
      </c>
      <c r="T73" s="239"/>
      <c r="W73" s="222">
        <f t="shared" si="12"/>
        <v>991.5809403704886</v>
      </c>
      <c r="X73" s="1">
        <f t="shared" si="13"/>
        <v>0.335</v>
      </c>
      <c r="Y73" s="1">
        <f t="shared" si="14"/>
        <v>-0.33</v>
      </c>
      <c r="Z73" s="1">
        <f t="shared" si="15"/>
        <v>-0.005009249999999999</v>
      </c>
      <c r="AA73" s="1">
        <f t="shared" si="16"/>
        <v>-1.0083149999999999</v>
      </c>
      <c r="AB73" s="1">
        <f t="shared" si="17"/>
        <v>-3.73475</v>
      </c>
      <c r="AC73" s="1">
        <f t="shared" si="18"/>
        <v>-8.4695</v>
      </c>
      <c r="AI73" s="234">
        <f t="shared" si="30"/>
        <v>-22.93054360830765</v>
      </c>
      <c r="AJ73" s="235">
        <f t="shared" si="19"/>
        <v>100.20304501561588</v>
      </c>
      <c r="AK73" s="236">
        <f t="shared" si="20"/>
        <v>13.360406002082119</v>
      </c>
      <c r="AL73" s="548">
        <f t="shared" si="21"/>
        <v>991.5809403704886</v>
      </c>
      <c r="AM73" s="239"/>
      <c r="AN73" s="239"/>
    </row>
    <row r="74" spans="1:40" ht="12.75">
      <c r="A74" s="239"/>
      <c r="B74" s="633">
        <v>1</v>
      </c>
      <c r="C74" s="109">
        <v>0</v>
      </c>
      <c r="D74" s="233">
        <f t="shared" si="9"/>
        <v>2</v>
      </c>
      <c r="E74" s="157">
        <v>1</v>
      </c>
      <c r="F74" s="109">
        <v>0</v>
      </c>
      <c r="G74" s="109">
        <v>7</v>
      </c>
      <c r="H74" s="73">
        <f t="shared" si="22"/>
        <v>13.360406002082119</v>
      </c>
      <c r="I74" s="73"/>
      <c r="J74" s="73" t="str">
        <f t="shared" si="23"/>
        <v>.</v>
      </c>
      <c r="K74" s="73" t="str">
        <f t="shared" si="24"/>
        <v>.</v>
      </c>
      <c r="L74" s="73" t="str">
        <f t="shared" si="10"/>
        <v>.</v>
      </c>
      <c r="M74" s="73" t="str">
        <f t="shared" si="11"/>
        <v>.</v>
      </c>
      <c r="N74" s="73">
        <f t="shared" si="25"/>
        <v>507.6577970054753</v>
      </c>
      <c r="O74" s="73" t="str">
        <f t="shared" si="26"/>
        <v>.</v>
      </c>
      <c r="P74" s="73" t="str">
        <f t="shared" si="27"/>
        <v>.</v>
      </c>
      <c r="Q74" s="73" t="str">
        <f t="shared" si="28"/>
        <v>.</v>
      </c>
      <c r="R74" s="634" t="str">
        <f t="shared" si="29"/>
        <v>.</v>
      </c>
      <c r="T74" s="239"/>
      <c r="W74" s="222">
        <f t="shared" si="12"/>
        <v>991.5809403704886</v>
      </c>
      <c r="X74" s="1">
        <f t="shared" si="13"/>
        <v>0.335</v>
      </c>
      <c r="Y74" s="1">
        <f t="shared" si="14"/>
        <v>-0.33</v>
      </c>
      <c r="Z74" s="1">
        <f t="shared" si="15"/>
        <v>-0.005009249999999999</v>
      </c>
      <c r="AA74" s="1">
        <f t="shared" si="16"/>
        <v>-1.0083149999999999</v>
      </c>
      <c r="AB74" s="1">
        <f t="shared" si="17"/>
        <v>-3.73475</v>
      </c>
      <c r="AC74" s="1">
        <f t="shared" si="18"/>
        <v>-8.4695</v>
      </c>
      <c r="AI74" s="234">
        <f t="shared" si="30"/>
        <v>-22.93054360830765</v>
      </c>
      <c r="AJ74" s="235">
        <f t="shared" si="19"/>
        <v>100.20304501561588</v>
      </c>
      <c r="AK74" s="236">
        <f t="shared" si="20"/>
        <v>13.360406002082119</v>
      </c>
      <c r="AL74" s="548">
        <f t="shared" si="21"/>
        <v>991.5809403704886</v>
      </c>
      <c r="AM74" s="239"/>
      <c r="AN74" s="239"/>
    </row>
    <row r="75" spans="1:40" ht="12.75">
      <c r="A75" s="239"/>
      <c r="B75" s="633">
        <v>1</v>
      </c>
      <c r="C75" s="109">
        <v>0</v>
      </c>
      <c r="D75" s="233">
        <f t="shared" si="9"/>
        <v>2</v>
      </c>
      <c r="E75" s="157">
        <v>1</v>
      </c>
      <c r="F75" s="109">
        <v>0</v>
      </c>
      <c r="G75" s="109">
        <v>7</v>
      </c>
      <c r="H75" s="73">
        <f t="shared" si="22"/>
        <v>13.360406002082119</v>
      </c>
      <c r="I75" s="73"/>
      <c r="J75" s="73" t="str">
        <f t="shared" si="23"/>
        <v>.</v>
      </c>
      <c r="K75" s="73" t="str">
        <f t="shared" si="24"/>
        <v>.</v>
      </c>
      <c r="L75" s="73" t="str">
        <f t="shared" si="10"/>
        <v>.</v>
      </c>
      <c r="M75" s="73" t="str">
        <f t="shared" si="11"/>
        <v>.</v>
      </c>
      <c r="N75" s="73">
        <f t="shared" si="25"/>
        <v>507.6577970054753</v>
      </c>
      <c r="O75" s="73" t="str">
        <f t="shared" si="26"/>
        <v>.</v>
      </c>
      <c r="P75" s="73" t="str">
        <f t="shared" si="27"/>
        <v>.</v>
      </c>
      <c r="Q75" s="73" t="str">
        <f t="shared" si="28"/>
        <v>.</v>
      </c>
      <c r="R75" s="634" t="str">
        <f t="shared" si="29"/>
        <v>.</v>
      </c>
      <c r="T75" s="239"/>
      <c r="W75" s="222">
        <f t="shared" si="12"/>
        <v>991.5809403704886</v>
      </c>
      <c r="X75" s="1">
        <f t="shared" si="13"/>
        <v>0.335</v>
      </c>
      <c r="Y75" s="1">
        <f t="shared" si="14"/>
        <v>-0.33</v>
      </c>
      <c r="Z75" s="1">
        <f t="shared" si="15"/>
        <v>-0.005009249999999999</v>
      </c>
      <c r="AA75" s="1">
        <f t="shared" si="16"/>
        <v>-1.0083149999999999</v>
      </c>
      <c r="AB75" s="1">
        <f t="shared" si="17"/>
        <v>-3.73475</v>
      </c>
      <c r="AC75" s="1">
        <f t="shared" si="18"/>
        <v>-8.4695</v>
      </c>
      <c r="AI75" s="234">
        <f t="shared" si="30"/>
        <v>-22.93054360830765</v>
      </c>
      <c r="AJ75" s="235">
        <f t="shared" si="19"/>
        <v>100.20304501561588</v>
      </c>
      <c r="AK75" s="236">
        <f t="shared" si="20"/>
        <v>13.360406002082119</v>
      </c>
      <c r="AL75" s="548">
        <f t="shared" si="21"/>
        <v>991.5809403704886</v>
      </c>
      <c r="AM75" s="239"/>
      <c r="AN75" s="239"/>
    </row>
    <row r="76" spans="1:40" ht="12.75">
      <c r="A76" s="239"/>
      <c r="B76" s="633">
        <v>1</v>
      </c>
      <c r="C76" s="109">
        <v>0</v>
      </c>
      <c r="D76" s="233">
        <f t="shared" si="9"/>
        <v>2</v>
      </c>
      <c r="E76" s="157">
        <v>1</v>
      </c>
      <c r="F76" s="109">
        <v>0</v>
      </c>
      <c r="G76" s="109">
        <v>7</v>
      </c>
      <c r="H76" s="73">
        <f t="shared" si="22"/>
        <v>13.360406002082119</v>
      </c>
      <c r="I76" s="73"/>
      <c r="J76" s="73" t="str">
        <f t="shared" si="23"/>
        <v>.</v>
      </c>
      <c r="K76" s="73" t="str">
        <f t="shared" si="24"/>
        <v>.</v>
      </c>
      <c r="L76" s="73" t="str">
        <f t="shared" si="10"/>
        <v>.</v>
      </c>
      <c r="M76" s="73" t="str">
        <f t="shared" si="11"/>
        <v>.</v>
      </c>
      <c r="N76" s="73">
        <f t="shared" si="25"/>
        <v>507.6577970054753</v>
      </c>
      <c r="O76" s="73" t="str">
        <f t="shared" si="26"/>
        <v>.</v>
      </c>
      <c r="P76" s="73" t="str">
        <f t="shared" si="27"/>
        <v>.</v>
      </c>
      <c r="Q76" s="73" t="str">
        <f t="shared" si="28"/>
        <v>.</v>
      </c>
      <c r="R76" s="634" t="str">
        <f t="shared" si="29"/>
        <v>.</v>
      </c>
      <c r="T76" s="239"/>
      <c r="W76" s="222">
        <f t="shared" si="12"/>
        <v>991.5809403704886</v>
      </c>
      <c r="X76" s="1">
        <f t="shared" si="13"/>
        <v>0.335</v>
      </c>
      <c r="Y76" s="1">
        <f t="shared" si="14"/>
        <v>-0.33</v>
      </c>
      <c r="Z76" s="1">
        <f t="shared" si="15"/>
        <v>-0.005009249999999999</v>
      </c>
      <c r="AA76" s="1">
        <f t="shared" si="16"/>
        <v>-1.0083149999999999</v>
      </c>
      <c r="AB76" s="1">
        <f t="shared" si="17"/>
        <v>-3.73475</v>
      </c>
      <c r="AC76" s="1">
        <f t="shared" si="18"/>
        <v>-8.4695</v>
      </c>
      <c r="AI76" s="234">
        <f t="shared" si="30"/>
        <v>-22.93054360830765</v>
      </c>
      <c r="AJ76" s="235">
        <f t="shared" si="19"/>
        <v>100.20304501561588</v>
      </c>
      <c r="AK76" s="236">
        <f t="shared" si="20"/>
        <v>13.360406002082119</v>
      </c>
      <c r="AL76" s="548">
        <f t="shared" si="21"/>
        <v>991.5809403704886</v>
      </c>
      <c r="AM76" s="239"/>
      <c r="AN76" s="239"/>
    </row>
    <row r="77" spans="1:40" ht="12.75">
      <c r="A77" s="239"/>
      <c r="B77" s="633">
        <v>1</v>
      </c>
      <c r="C77" s="109">
        <v>0</v>
      </c>
      <c r="D77" s="233">
        <f t="shared" si="9"/>
        <v>2</v>
      </c>
      <c r="E77" s="157">
        <v>1</v>
      </c>
      <c r="F77" s="109">
        <v>0</v>
      </c>
      <c r="G77" s="109">
        <v>7</v>
      </c>
      <c r="H77" s="73">
        <f t="shared" si="22"/>
        <v>13.360406002082119</v>
      </c>
      <c r="I77" s="73"/>
      <c r="J77" s="73" t="str">
        <f t="shared" si="23"/>
        <v>.</v>
      </c>
      <c r="K77" s="73" t="str">
        <f t="shared" si="24"/>
        <v>.</v>
      </c>
      <c r="L77" s="73" t="str">
        <f t="shared" si="10"/>
        <v>.</v>
      </c>
      <c r="M77" s="73" t="str">
        <f t="shared" si="11"/>
        <v>.</v>
      </c>
      <c r="N77" s="73">
        <f t="shared" si="25"/>
        <v>507.6577970054753</v>
      </c>
      <c r="O77" s="73" t="str">
        <f t="shared" si="26"/>
        <v>.</v>
      </c>
      <c r="P77" s="73" t="str">
        <f t="shared" si="27"/>
        <v>.</v>
      </c>
      <c r="Q77" s="73" t="str">
        <f t="shared" si="28"/>
        <v>.</v>
      </c>
      <c r="R77" s="634" t="str">
        <f t="shared" si="29"/>
        <v>.</v>
      </c>
      <c r="T77" s="239"/>
      <c r="W77" s="222">
        <f t="shared" si="12"/>
        <v>991.5809403704886</v>
      </c>
      <c r="X77" s="1">
        <f t="shared" si="13"/>
        <v>0.335</v>
      </c>
      <c r="Y77" s="1">
        <f t="shared" si="14"/>
        <v>-0.33</v>
      </c>
      <c r="Z77" s="1">
        <f t="shared" si="15"/>
        <v>-0.005009249999999999</v>
      </c>
      <c r="AA77" s="1">
        <f t="shared" si="16"/>
        <v>-1.0083149999999999</v>
      </c>
      <c r="AB77" s="1">
        <f t="shared" si="17"/>
        <v>-3.73475</v>
      </c>
      <c r="AC77" s="1">
        <f t="shared" si="18"/>
        <v>-8.4695</v>
      </c>
      <c r="AI77" s="234">
        <f t="shared" si="30"/>
        <v>-22.93054360830765</v>
      </c>
      <c r="AJ77" s="235">
        <f t="shared" si="19"/>
        <v>100.20304501561588</v>
      </c>
      <c r="AK77" s="236">
        <f t="shared" si="20"/>
        <v>13.360406002082119</v>
      </c>
      <c r="AL77" s="548">
        <f t="shared" si="21"/>
        <v>991.5809403704886</v>
      </c>
      <c r="AM77" s="239"/>
      <c r="AN77" s="239"/>
    </row>
    <row r="78" spans="1:40" ht="12.75">
      <c r="A78" s="239"/>
      <c r="B78" s="633">
        <v>1</v>
      </c>
      <c r="C78" s="109">
        <v>0</v>
      </c>
      <c r="D78" s="233">
        <f t="shared" si="9"/>
        <v>2</v>
      </c>
      <c r="E78" s="157">
        <v>1</v>
      </c>
      <c r="F78" s="109">
        <v>0</v>
      </c>
      <c r="G78" s="109">
        <v>7</v>
      </c>
      <c r="H78" s="73">
        <f t="shared" si="22"/>
        <v>13.360406002082119</v>
      </c>
      <c r="I78" s="73"/>
      <c r="J78" s="73" t="str">
        <f t="shared" si="23"/>
        <v>.</v>
      </c>
      <c r="K78" s="73" t="str">
        <f t="shared" si="24"/>
        <v>.</v>
      </c>
      <c r="L78" s="73" t="str">
        <f t="shared" si="10"/>
        <v>.</v>
      </c>
      <c r="M78" s="73" t="str">
        <f t="shared" si="11"/>
        <v>.</v>
      </c>
      <c r="N78" s="73">
        <f t="shared" si="25"/>
        <v>507.6577970054753</v>
      </c>
      <c r="O78" s="73" t="str">
        <f t="shared" si="26"/>
        <v>.</v>
      </c>
      <c r="P78" s="73" t="str">
        <f t="shared" si="27"/>
        <v>.</v>
      </c>
      <c r="Q78" s="73" t="str">
        <f t="shared" si="28"/>
        <v>.</v>
      </c>
      <c r="R78" s="634" t="str">
        <f t="shared" si="29"/>
        <v>.</v>
      </c>
      <c r="T78" s="239"/>
      <c r="W78" s="222">
        <f t="shared" si="12"/>
        <v>991.5809403704886</v>
      </c>
      <c r="X78" s="1">
        <f t="shared" si="13"/>
        <v>0.335</v>
      </c>
      <c r="Y78" s="1">
        <f t="shared" si="14"/>
        <v>-0.33</v>
      </c>
      <c r="Z78" s="1">
        <f t="shared" si="15"/>
        <v>-0.005009249999999999</v>
      </c>
      <c r="AA78" s="1">
        <f t="shared" si="16"/>
        <v>-1.0083149999999999</v>
      </c>
      <c r="AB78" s="1">
        <f t="shared" si="17"/>
        <v>-3.73475</v>
      </c>
      <c r="AC78" s="1">
        <f t="shared" si="18"/>
        <v>-8.4695</v>
      </c>
      <c r="AI78" s="234">
        <f t="shared" si="30"/>
        <v>-22.93054360830765</v>
      </c>
      <c r="AJ78" s="235">
        <f t="shared" si="19"/>
        <v>100.20304501561588</v>
      </c>
      <c r="AK78" s="236">
        <f t="shared" si="20"/>
        <v>13.360406002082119</v>
      </c>
      <c r="AL78" s="548">
        <f t="shared" si="21"/>
        <v>991.5809403704886</v>
      </c>
      <c r="AM78" s="239"/>
      <c r="AN78" s="239"/>
    </row>
    <row r="79" spans="1:40" ht="12.75">
      <c r="A79" s="239"/>
      <c r="B79" s="633">
        <v>1</v>
      </c>
      <c r="C79" s="109">
        <v>0</v>
      </c>
      <c r="D79" s="233">
        <f t="shared" si="9"/>
        <v>2</v>
      </c>
      <c r="E79" s="157">
        <v>1</v>
      </c>
      <c r="F79" s="109">
        <v>0</v>
      </c>
      <c r="G79" s="109">
        <v>7</v>
      </c>
      <c r="H79" s="73">
        <f t="shared" si="22"/>
        <v>13.360406002082119</v>
      </c>
      <c r="I79" s="73"/>
      <c r="J79" s="73" t="str">
        <f t="shared" si="23"/>
        <v>.</v>
      </c>
      <c r="K79" s="73" t="str">
        <f t="shared" si="24"/>
        <v>.</v>
      </c>
      <c r="L79" s="73" t="str">
        <f t="shared" si="10"/>
        <v>.</v>
      </c>
      <c r="M79" s="73" t="str">
        <f t="shared" si="11"/>
        <v>.</v>
      </c>
      <c r="N79" s="73">
        <f t="shared" si="25"/>
        <v>507.6577970054753</v>
      </c>
      <c r="O79" s="73" t="str">
        <f t="shared" si="26"/>
        <v>.</v>
      </c>
      <c r="P79" s="73" t="str">
        <f t="shared" si="27"/>
        <v>.</v>
      </c>
      <c r="Q79" s="73" t="str">
        <f t="shared" si="28"/>
        <v>.</v>
      </c>
      <c r="R79" s="634" t="str">
        <f t="shared" si="29"/>
        <v>.</v>
      </c>
      <c r="T79" s="239"/>
      <c r="W79" s="222">
        <f t="shared" si="12"/>
        <v>991.5809403704886</v>
      </c>
      <c r="X79" s="1">
        <f t="shared" si="13"/>
        <v>0.335</v>
      </c>
      <c r="Y79" s="1">
        <f t="shared" si="14"/>
        <v>-0.33</v>
      </c>
      <c r="Z79" s="1">
        <f t="shared" si="15"/>
        <v>-0.005009249999999999</v>
      </c>
      <c r="AA79" s="1">
        <f t="shared" si="16"/>
        <v>-1.0083149999999999</v>
      </c>
      <c r="AB79" s="1">
        <f t="shared" si="17"/>
        <v>-3.73475</v>
      </c>
      <c r="AC79" s="1">
        <f t="shared" si="18"/>
        <v>-8.4695</v>
      </c>
      <c r="AI79" s="234">
        <f t="shared" si="30"/>
        <v>-22.93054360830765</v>
      </c>
      <c r="AJ79" s="235">
        <f t="shared" si="19"/>
        <v>100.20304501561588</v>
      </c>
      <c r="AK79" s="236">
        <f t="shared" si="20"/>
        <v>13.360406002082119</v>
      </c>
      <c r="AL79" s="548">
        <f t="shared" si="21"/>
        <v>991.5809403704886</v>
      </c>
      <c r="AM79" s="239"/>
      <c r="AN79" s="239"/>
    </row>
    <row r="80" spans="1:40" ht="12.75">
      <c r="A80" s="239"/>
      <c r="B80" s="633">
        <v>1</v>
      </c>
      <c r="C80" s="109">
        <v>0</v>
      </c>
      <c r="D80" s="233">
        <f t="shared" si="9"/>
        <v>2</v>
      </c>
      <c r="E80" s="157">
        <v>1</v>
      </c>
      <c r="F80" s="109">
        <v>0</v>
      </c>
      <c r="G80" s="109">
        <v>7</v>
      </c>
      <c r="H80" s="73">
        <f t="shared" si="22"/>
        <v>13.360406002082119</v>
      </c>
      <c r="I80" s="73"/>
      <c r="J80" s="73" t="str">
        <f t="shared" si="23"/>
        <v>.</v>
      </c>
      <c r="K80" s="73" t="str">
        <f t="shared" si="24"/>
        <v>.</v>
      </c>
      <c r="L80" s="73" t="str">
        <f t="shared" si="10"/>
        <v>.</v>
      </c>
      <c r="M80" s="73" t="str">
        <f t="shared" si="11"/>
        <v>.</v>
      </c>
      <c r="N80" s="73">
        <f t="shared" si="25"/>
        <v>507.6577970054753</v>
      </c>
      <c r="O80" s="73" t="str">
        <f t="shared" si="26"/>
        <v>.</v>
      </c>
      <c r="P80" s="73" t="str">
        <f t="shared" si="27"/>
        <v>.</v>
      </c>
      <c r="Q80" s="73" t="str">
        <f t="shared" si="28"/>
        <v>.</v>
      </c>
      <c r="R80" s="634" t="str">
        <f t="shared" si="29"/>
        <v>.</v>
      </c>
      <c r="T80" s="239"/>
      <c r="W80" s="222">
        <f t="shared" si="12"/>
        <v>991.5809403704886</v>
      </c>
      <c r="X80" s="1">
        <f t="shared" si="13"/>
        <v>0.335</v>
      </c>
      <c r="Y80" s="1">
        <f t="shared" si="14"/>
        <v>-0.33</v>
      </c>
      <c r="Z80" s="1">
        <f t="shared" si="15"/>
        <v>-0.005009249999999999</v>
      </c>
      <c r="AA80" s="1">
        <f t="shared" si="16"/>
        <v>-1.0083149999999999</v>
      </c>
      <c r="AB80" s="1">
        <f t="shared" si="17"/>
        <v>-3.73475</v>
      </c>
      <c r="AC80" s="1">
        <f t="shared" si="18"/>
        <v>-8.4695</v>
      </c>
      <c r="AI80" s="234">
        <f t="shared" si="30"/>
        <v>-22.93054360830765</v>
      </c>
      <c r="AJ80" s="235">
        <f t="shared" si="19"/>
        <v>100.20304501561588</v>
      </c>
      <c r="AK80" s="236">
        <f t="shared" si="20"/>
        <v>13.360406002082119</v>
      </c>
      <c r="AL80" s="548">
        <f t="shared" si="21"/>
        <v>991.5809403704886</v>
      </c>
      <c r="AM80" s="239"/>
      <c r="AN80" s="239"/>
    </row>
    <row r="81" spans="1:40" ht="12.75">
      <c r="A81" s="239"/>
      <c r="B81" s="633">
        <v>1</v>
      </c>
      <c r="C81" s="109">
        <v>0</v>
      </c>
      <c r="D81" s="233">
        <f t="shared" si="9"/>
        <v>2</v>
      </c>
      <c r="E81" s="157">
        <v>1</v>
      </c>
      <c r="F81" s="109">
        <v>0</v>
      </c>
      <c r="G81" s="109">
        <v>7</v>
      </c>
      <c r="H81" s="73">
        <f t="shared" si="22"/>
        <v>13.360406002082119</v>
      </c>
      <c r="I81" s="73"/>
      <c r="J81" s="73" t="str">
        <f t="shared" si="23"/>
        <v>.</v>
      </c>
      <c r="K81" s="73" t="str">
        <f t="shared" si="24"/>
        <v>.</v>
      </c>
      <c r="L81" s="73" t="str">
        <f t="shared" si="10"/>
        <v>.</v>
      </c>
      <c r="M81" s="73" t="str">
        <f t="shared" si="11"/>
        <v>.</v>
      </c>
      <c r="N81" s="73">
        <f t="shared" si="25"/>
        <v>507.6577970054753</v>
      </c>
      <c r="O81" s="73" t="str">
        <f t="shared" si="26"/>
        <v>.</v>
      </c>
      <c r="P81" s="73" t="str">
        <f t="shared" si="27"/>
        <v>.</v>
      </c>
      <c r="Q81" s="73" t="str">
        <f t="shared" si="28"/>
        <v>.</v>
      </c>
      <c r="R81" s="634" t="str">
        <f t="shared" si="29"/>
        <v>.</v>
      </c>
      <c r="T81" s="239"/>
      <c r="W81" s="222">
        <f t="shared" si="12"/>
        <v>991.5809403704886</v>
      </c>
      <c r="X81" s="1">
        <f t="shared" si="13"/>
        <v>0.335</v>
      </c>
      <c r="Y81" s="1">
        <f t="shared" si="14"/>
        <v>-0.33</v>
      </c>
      <c r="Z81" s="1">
        <f t="shared" si="15"/>
        <v>-0.005009249999999999</v>
      </c>
      <c r="AA81" s="1">
        <f t="shared" si="16"/>
        <v>-1.0083149999999999</v>
      </c>
      <c r="AB81" s="1">
        <f t="shared" si="17"/>
        <v>-3.73475</v>
      </c>
      <c r="AC81" s="1">
        <f t="shared" si="18"/>
        <v>-8.4695</v>
      </c>
      <c r="AI81" s="234">
        <f t="shared" si="30"/>
        <v>-22.93054360830765</v>
      </c>
      <c r="AJ81" s="235">
        <f t="shared" si="19"/>
        <v>100.20304501561588</v>
      </c>
      <c r="AK81" s="236">
        <f t="shared" si="20"/>
        <v>13.360406002082119</v>
      </c>
      <c r="AL81" s="548">
        <f t="shared" si="21"/>
        <v>991.5809403704886</v>
      </c>
      <c r="AM81" s="239"/>
      <c r="AN81" s="239"/>
    </row>
    <row r="82" spans="1:40" ht="12.75">
      <c r="A82" s="239"/>
      <c r="B82" s="633">
        <v>1</v>
      </c>
      <c r="C82" s="109">
        <v>0</v>
      </c>
      <c r="D82" s="233">
        <f t="shared" si="9"/>
        <v>2</v>
      </c>
      <c r="E82" s="157">
        <v>1</v>
      </c>
      <c r="F82" s="109">
        <v>0</v>
      </c>
      <c r="G82" s="109">
        <v>7</v>
      </c>
      <c r="H82" s="73">
        <f t="shared" si="22"/>
        <v>13.360406002082119</v>
      </c>
      <c r="I82" s="73"/>
      <c r="J82" s="73" t="str">
        <f t="shared" si="23"/>
        <v>.</v>
      </c>
      <c r="K82" s="73" t="str">
        <f t="shared" si="24"/>
        <v>.</v>
      </c>
      <c r="L82" s="73" t="str">
        <f t="shared" si="10"/>
        <v>.</v>
      </c>
      <c r="M82" s="73" t="str">
        <f t="shared" si="11"/>
        <v>.</v>
      </c>
      <c r="N82" s="73">
        <f t="shared" si="25"/>
        <v>507.6577970054753</v>
      </c>
      <c r="O82" s="73" t="str">
        <f t="shared" si="26"/>
        <v>.</v>
      </c>
      <c r="P82" s="73" t="str">
        <f t="shared" si="27"/>
        <v>.</v>
      </c>
      <c r="Q82" s="73" t="str">
        <f t="shared" si="28"/>
        <v>.</v>
      </c>
      <c r="R82" s="634" t="str">
        <f t="shared" si="29"/>
        <v>.</v>
      </c>
      <c r="T82" s="239"/>
      <c r="W82" s="222">
        <f t="shared" si="12"/>
        <v>991.5809403704886</v>
      </c>
      <c r="X82" s="1">
        <f t="shared" si="13"/>
        <v>0.335</v>
      </c>
      <c r="Y82" s="1">
        <f t="shared" si="14"/>
        <v>-0.33</v>
      </c>
      <c r="Z82" s="1">
        <f t="shared" si="15"/>
        <v>-0.005009249999999999</v>
      </c>
      <c r="AA82" s="1">
        <f t="shared" si="16"/>
        <v>-1.0083149999999999</v>
      </c>
      <c r="AB82" s="1">
        <f t="shared" si="17"/>
        <v>-3.73475</v>
      </c>
      <c r="AC82" s="1">
        <f t="shared" si="18"/>
        <v>-8.4695</v>
      </c>
      <c r="AI82" s="234">
        <f t="shared" si="30"/>
        <v>-22.93054360830765</v>
      </c>
      <c r="AJ82" s="235">
        <f t="shared" si="19"/>
        <v>100.20304501561588</v>
      </c>
      <c r="AK82" s="236">
        <f t="shared" si="20"/>
        <v>13.360406002082119</v>
      </c>
      <c r="AL82" s="548">
        <f t="shared" si="21"/>
        <v>991.5809403704886</v>
      </c>
      <c r="AM82" s="239"/>
      <c r="AN82" s="239"/>
    </row>
    <row r="83" spans="1:40" ht="12.75">
      <c r="A83" s="239"/>
      <c r="B83" s="633">
        <v>1</v>
      </c>
      <c r="C83" s="109">
        <v>0</v>
      </c>
      <c r="D83" s="233">
        <f t="shared" si="9"/>
        <v>2</v>
      </c>
      <c r="E83" s="157">
        <v>1</v>
      </c>
      <c r="F83" s="109">
        <v>0</v>
      </c>
      <c r="G83" s="109">
        <v>7</v>
      </c>
      <c r="H83" s="73">
        <f t="shared" si="22"/>
        <v>13.360406002082119</v>
      </c>
      <c r="I83" s="73"/>
      <c r="J83" s="73" t="str">
        <f t="shared" si="23"/>
        <v>.</v>
      </c>
      <c r="K83" s="73" t="str">
        <f t="shared" si="24"/>
        <v>.</v>
      </c>
      <c r="L83" s="73" t="str">
        <f t="shared" si="10"/>
        <v>.</v>
      </c>
      <c r="M83" s="73" t="str">
        <f t="shared" si="11"/>
        <v>.</v>
      </c>
      <c r="N83" s="73">
        <f t="shared" si="25"/>
        <v>507.6577970054753</v>
      </c>
      <c r="O83" s="73" t="str">
        <f t="shared" si="26"/>
        <v>.</v>
      </c>
      <c r="P83" s="73" t="str">
        <f t="shared" si="27"/>
        <v>.</v>
      </c>
      <c r="Q83" s="73" t="str">
        <f t="shared" si="28"/>
        <v>.</v>
      </c>
      <c r="R83" s="634" t="str">
        <f t="shared" si="29"/>
        <v>.</v>
      </c>
      <c r="T83" s="239"/>
      <c r="W83" s="222">
        <f t="shared" si="12"/>
        <v>991.5809403704886</v>
      </c>
      <c r="X83" s="1">
        <f t="shared" si="13"/>
        <v>0.335</v>
      </c>
      <c r="Y83" s="1">
        <f t="shared" si="14"/>
        <v>-0.33</v>
      </c>
      <c r="Z83" s="1">
        <f t="shared" si="15"/>
        <v>-0.005009249999999999</v>
      </c>
      <c r="AA83" s="1">
        <f t="shared" si="16"/>
        <v>-1.0083149999999999</v>
      </c>
      <c r="AB83" s="1">
        <f t="shared" si="17"/>
        <v>-3.73475</v>
      </c>
      <c r="AC83" s="1">
        <f t="shared" si="18"/>
        <v>-8.4695</v>
      </c>
      <c r="AI83" s="234">
        <f t="shared" si="30"/>
        <v>-22.93054360830765</v>
      </c>
      <c r="AJ83" s="235">
        <f t="shared" si="19"/>
        <v>100.20304501561588</v>
      </c>
      <c r="AK83" s="236">
        <f t="shared" si="20"/>
        <v>13.360406002082119</v>
      </c>
      <c r="AL83" s="548">
        <f t="shared" si="21"/>
        <v>991.5809403704886</v>
      </c>
      <c r="AM83" s="239"/>
      <c r="AN83" s="239"/>
    </row>
    <row r="84" spans="1:40" ht="12.75">
      <c r="A84" s="239"/>
      <c r="B84" s="633">
        <v>1</v>
      </c>
      <c r="C84" s="109">
        <v>0</v>
      </c>
      <c r="D84" s="233">
        <f t="shared" si="9"/>
        <v>2</v>
      </c>
      <c r="E84" s="157">
        <v>1</v>
      </c>
      <c r="F84" s="109">
        <v>0</v>
      </c>
      <c r="G84" s="109">
        <v>7</v>
      </c>
      <c r="H84" s="73">
        <f t="shared" si="22"/>
        <v>13.360406002082119</v>
      </c>
      <c r="I84" s="73"/>
      <c r="J84" s="73" t="str">
        <f t="shared" si="23"/>
        <v>.</v>
      </c>
      <c r="K84" s="73" t="str">
        <f t="shared" si="24"/>
        <v>.</v>
      </c>
      <c r="L84" s="73" t="str">
        <f t="shared" si="10"/>
        <v>.</v>
      </c>
      <c r="M84" s="73" t="str">
        <f t="shared" si="11"/>
        <v>.</v>
      </c>
      <c r="N84" s="73">
        <f t="shared" si="25"/>
        <v>507.6577970054753</v>
      </c>
      <c r="O84" s="73" t="str">
        <f t="shared" si="26"/>
        <v>.</v>
      </c>
      <c r="P84" s="73" t="str">
        <f t="shared" si="27"/>
        <v>.</v>
      </c>
      <c r="Q84" s="73" t="str">
        <f t="shared" si="28"/>
        <v>.</v>
      </c>
      <c r="R84" s="634" t="str">
        <f t="shared" si="29"/>
        <v>.</v>
      </c>
      <c r="T84" s="239"/>
      <c r="W84" s="222">
        <f t="shared" si="12"/>
        <v>991.5809403704886</v>
      </c>
      <c r="X84" s="1">
        <f t="shared" si="13"/>
        <v>0.335</v>
      </c>
      <c r="Y84" s="1">
        <f t="shared" si="14"/>
        <v>-0.33</v>
      </c>
      <c r="Z84" s="1">
        <f t="shared" si="15"/>
        <v>-0.005009249999999999</v>
      </c>
      <c r="AA84" s="1">
        <f t="shared" si="16"/>
        <v>-1.0083149999999999</v>
      </c>
      <c r="AB84" s="1">
        <f t="shared" si="17"/>
        <v>-3.73475</v>
      </c>
      <c r="AC84" s="1">
        <f t="shared" si="18"/>
        <v>-8.4695</v>
      </c>
      <c r="AI84" s="234">
        <f t="shared" si="30"/>
        <v>-22.93054360830765</v>
      </c>
      <c r="AJ84" s="235">
        <f t="shared" si="19"/>
        <v>100.20304501561588</v>
      </c>
      <c r="AK84" s="236">
        <f t="shared" si="20"/>
        <v>13.360406002082119</v>
      </c>
      <c r="AL84" s="548">
        <f t="shared" si="21"/>
        <v>991.5809403704886</v>
      </c>
      <c r="AM84" s="239"/>
      <c r="AN84" s="239"/>
    </row>
    <row r="85" spans="1:40" ht="12.75">
      <c r="A85" s="239"/>
      <c r="B85" s="633">
        <v>1</v>
      </c>
      <c r="C85" s="109">
        <v>0</v>
      </c>
      <c r="D85" s="233">
        <f t="shared" si="9"/>
        <v>2</v>
      </c>
      <c r="E85" s="157">
        <v>1</v>
      </c>
      <c r="F85" s="109">
        <v>0</v>
      </c>
      <c r="G85" s="109">
        <v>7</v>
      </c>
      <c r="H85" s="73">
        <f t="shared" si="22"/>
        <v>13.360406002082119</v>
      </c>
      <c r="I85" s="73"/>
      <c r="J85" s="73" t="str">
        <f t="shared" si="23"/>
        <v>.</v>
      </c>
      <c r="K85" s="73" t="str">
        <f t="shared" si="24"/>
        <v>.</v>
      </c>
      <c r="L85" s="73" t="str">
        <f t="shared" si="10"/>
        <v>.</v>
      </c>
      <c r="M85" s="73" t="str">
        <f t="shared" si="11"/>
        <v>.</v>
      </c>
      <c r="N85" s="73">
        <f t="shared" si="25"/>
        <v>507.6577970054753</v>
      </c>
      <c r="O85" s="73" t="str">
        <f t="shared" si="26"/>
        <v>.</v>
      </c>
      <c r="P85" s="73" t="str">
        <f t="shared" si="27"/>
        <v>.</v>
      </c>
      <c r="Q85" s="73" t="str">
        <f t="shared" si="28"/>
        <v>.</v>
      </c>
      <c r="R85" s="634" t="str">
        <f t="shared" si="29"/>
        <v>.</v>
      </c>
      <c r="T85" s="239"/>
      <c r="W85" s="222">
        <f t="shared" si="12"/>
        <v>991.5809403704886</v>
      </c>
      <c r="X85" s="1">
        <f t="shared" si="13"/>
        <v>0.335</v>
      </c>
      <c r="Y85" s="1">
        <f t="shared" si="14"/>
        <v>-0.33</v>
      </c>
      <c r="Z85" s="1">
        <f t="shared" si="15"/>
        <v>-0.005009249999999999</v>
      </c>
      <c r="AA85" s="1">
        <f t="shared" si="16"/>
        <v>-1.0083149999999999</v>
      </c>
      <c r="AB85" s="1">
        <f t="shared" si="17"/>
        <v>-3.73475</v>
      </c>
      <c r="AC85" s="1">
        <f t="shared" si="18"/>
        <v>-8.4695</v>
      </c>
      <c r="AI85" s="234">
        <f t="shared" si="30"/>
        <v>-22.93054360830765</v>
      </c>
      <c r="AJ85" s="235">
        <f t="shared" si="19"/>
        <v>100.20304501561588</v>
      </c>
      <c r="AK85" s="236">
        <f t="shared" si="20"/>
        <v>13.360406002082119</v>
      </c>
      <c r="AL85" s="548">
        <f t="shared" si="21"/>
        <v>991.5809403704886</v>
      </c>
      <c r="AM85" s="239"/>
      <c r="AN85" s="239"/>
    </row>
    <row r="86" spans="1:40" ht="12.75">
      <c r="A86" s="239"/>
      <c r="B86" s="633">
        <v>1</v>
      </c>
      <c r="C86" s="109">
        <v>0</v>
      </c>
      <c r="D86" s="233">
        <f t="shared" si="9"/>
        <v>2</v>
      </c>
      <c r="E86" s="157">
        <v>1</v>
      </c>
      <c r="F86" s="109">
        <v>0</v>
      </c>
      <c r="G86" s="109">
        <v>7</v>
      </c>
      <c r="H86" s="73">
        <f aca="true" t="shared" si="31" ref="H86:H94">AK86</f>
        <v>13.360406002082119</v>
      </c>
      <c r="I86" s="73"/>
      <c r="J86" s="73" t="str">
        <f aca="true" t="shared" si="32" ref="J86:J94">IF(F86=0,".",31.7+0.219*W86*L86*O86)</f>
        <v>.</v>
      </c>
      <c r="K86" s="73" t="str">
        <f aca="true" t="shared" si="33" ref="K86:K94">IF(F86=0,".",107.2+0.36*W86*M86*(1-O86))</f>
        <v>.</v>
      </c>
      <c r="L86" s="73" t="str">
        <f t="shared" si="10"/>
        <v>.</v>
      </c>
      <c r="M86" s="73" t="str">
        <f t="shared" si="11"/>
        <v>.</v>
      </c>
      <c r="N86" s="73">
        <f aca="true" t="shared" si="34" ref="N86:N94">($K$9+$K$11*(G86/H86))*W86</f>
        <v>507.6577970054753</v>
      </c>
      <c r="O86" s="73" t="str">
        <f aca="true" t="shared" si="35" ref="O86:O94">IF(F86=0,".",1-G86/H86)</f>
        <v>.</v>
      </c>
      <c r="P86" s="73" t="str">
        <f aca="true" t="shared" si="36" ref="P86:P94">IF(F86=0,".",IF(F86&gt;5,1,0.0186+0.37*F86-0.035*F86^2))</f>
        <v>.</v>
      </c>
      <c r="Q86" s="73" t="str">
        <f aca="true" t="shared" si="37" ref="Q86:Q94">IF(F86=0,".",IF(E86&lt;20,0.6,0.5))</f>
        <v>.</v>
      </c>
      <c r="R86" s="634" t="str">
        <f aca="true" t="shared" si="38" ref="R86:R94">IF(F86=0,".",IF(F86=0,0,(J86+K86)*P86*Q86*$H$13*C86))</f>
        <v>.</v>
      </c>
      <c r="T86" s="239"/>
      <c r="W86" s="222">
        <f t="shared" si="12"/>
        <v>991.5809403704886</v>
      </c>
      <c r="X86" s="1">
        <f t="shared" si="13"/>
        <v>0.335</v>
      </c>
      <c r="Y86" s="1">
        <f t="shared" si="14"/>
        <v>-0.33</v>
      </c>
      <c r="Z86" s="1">
        <f t="shared" si="15"/>
        <v>-0.005009249999999999</v>
      </c>
      <c r="AA86" s="1">
        <f t="shared" si="16"/>
        <v>-1.0083149999999999</v>
      </c>
      <c r="AB86" s="1">
        <f t="shared" si="17"/>
        <v>-3.73475</v>
      </c>
      <c r="AC86" s="1">
        <f t="shared" si="18"/>
        <v>-8.4695</v>
      </c>
      <c r="AI86" s="234">
        <f aca="true" t="shared" si="39" ref="AI86:AI94">23.45*SIN(RADIANS((360/365)*(D86-81)))</f>
        <v>-22.93054360830765</v>
      </c>
      <c r="AJ86" s="235">
        <f t="shared" si="19"/>
        <v>100.20304501561588</v>
      </c>
      <c r="AK86" s="236">
        <f t="shared" si="20"/>
        <v>13.360406002082119</v>
      </c>
      <c r="AL86" s="548">
        <f t="shared" si="21"/>
        <v>991.5809403704886</v>
      </c>
      <c r="AM86" s="239"/>
      <c r="AN86" s="239"/>
    </row>
    <row r="87" spans="1:40" ht="12.75">
      <c r="A87" s="239"/>
      <c r="B87" s="633">
        <v>1</v>
      </c>
      <c r="C87" s="109">
        <v>0</v>
      </c>
      <c r="D87" s="233">
        <f aca="true" t="shared" si="40" ref="D87:D94">IF(D86+C86&gt;365,((D86+C86)-365),D86+C86)</f>
        <v>2</v>
      </c>
      <c r="E87" s="157">
        <v>1</v>
      </c>
      <c r="F87" s="109">
        <v>0</v>
      </c>
      <c r="G87" s="109">
        <v>7</v>
      </c>
      <c r="H87" s="73">
        <f t="shared" si="31"/>
        <v>13.360406002082119</v>
      </c>
      <c r="I87" s="73"/>
      <c r="J87" s="73" t="str">
        <f t="shared" si="32"/>
        <v>.</v>
      </c>
      <c r="K87" s="73" t="str">
        <f t="shared" si="33"/>
        <v>.</v>
      </c>
      <c r="L87" s="73" t="str">
        <f aca="true" t="shared" si="41" ref="L87:L94">IF(F87=0,".",IF($D$15=1,X87,IF($D$15=2,Z87,IF($D$15=3,AB87))))</f>
        <v>.</v>
      </c>
      <c r="M87" s="73" t="str">
        <f aca="true" t="shared" si="42" ref="M87:M94">IF(F87=0,".",IF($D$15=1,Y87,IF($D$15=2,AA87,IF($D$15=3,AC87))))</f>
        <v>.</v>
      </c>
      <c r="N87" s="73">
        <f t="shared" si="34"/>
        <v>507.6577970054753</v>
      </c>
      <c r="O87" s="73" t="str">
        <f t="shared" si="35"/>
        <v>.</v>
      </c>
      <c r="P87" s="73" t="str">
        <f t="shared" si="36"/>
        <v>.</v>
      </c>
      <c r="Q87" s="73" t="str">
        <f t="shared" si="37"/>
        <v>.</v>
      </c>
      <c r="R87" s="634" t="str">
        <f t="shared" si="38"/>
        <v>.</v>
      </c>
      <c r="T87" s="239"/>
      <c r="W87" s="222">
        <f aca="true" t="shared" si="43" ref="W87:W94">AL87</f>
        <v>991.5809403704886</v>
      </c>
      <c r="X87" s="1">
        <f aca="true" t="shared" si="44" ref="X87:X94">IF(AND(E87&gt;=15,E87&lt;=20),0.7+0.035*E87-0.001*E87^2,IF(OR(E87&lt;15,E87&gt;20),0.25+0.0875*E87-0.0025*E87^2))</f>
        <v>0.335</v>
      </c>
      <c r="Y87" s="1">
        <f aca="true" t="shared" si="45" ref="Y87:Y94">IF(AND(E87&gt;=15,E87&lt;=20),0.25+0.0875*E87-0.0025*E87^2,IF(OR(E87&lt;15,E87&gt;20),-0.5+0.175*E87-0.005*E87^2))</f>
        <v>-0.33</v>
      </c>
      <c r="Z87" s="1">
        <f aca="true" t="shared" si="46" ref="Z87:Z94">IF(AND(E87&gt;=16.5,E87&lt;=37),0.583+0.014*E87+0.0013*E87^2-0.000037*E87^3,IF(OR(E87&lt;16.5,E87&gt;37),-0.0425+0.035*E87+0.0025*E87^2-0.00000925*E87^3))</f>
        <v>-0.005009249999999999</v>
      </c>
      <c r="AA87" s="1">
        <f aca="true" t="shared" si="47" ref="AA87:AA94">IF(AND(E87&gt;=16.5,E87&lt;=37),-0.0425+0.035*E87+0.00325*E87^2-0.0000925*E87^3,IF(OR(E87&lt;16.5,E87&gt;37),-1.085+0.07*E87+0.0065*E87^2+0.000185*E87^3))</f>
        <v>-1.0083149999999999</v>
      </c>
      <c r="AB87" s="1">
        <f aca="true" t="shared" si="48" ref="AB87:AB94">IF($E87&gt;=16.5,-1.064+0.173*$E87-0.0029*$E87^2,IF($E87&lt;16.5,-4.16+0.4325*$E87-0.00725*$E87^2))</f>
        <v>-3.73475</v>
      </c>
      <c r="AC87" s="1">
        <f aca="true" t="shared" si="49" ref="AC87:AC94">IF($E87&gt;=16.5,-4.16+0.4325*$E87-0.00725*$E87^2,IF($E87&lt;16.5,-9.32+0.865*$E87-0.0145*$E87^2))</f>
        <v>-8.4695</v>
      </c>
      <c r="AI87" s="234">
        <f t="shared" si="39"/>
        <v>-22.93054360830765</v>
      </c>
      <c r="AJ87" s="235">
        <f aca="true" t="shared" si="50" ref="AJ87:AJ94">ACOS(-TAN(RADIANS($L$11))*TAN(RADIANS(AI87)))*180/PI()</f>
        <v>100.20304501561588</v>
      </c>
      <c r="AK87" s="236">
        <f aca="true" t="shared" si="51" ref="AK87:AK94">2*AJ87/15</f>
        <v>13.360406002082119</v>
      </c>
      <c r="AL87" s="548">
        <f aca="true" t="shared" si="52" ref="AL87:AL94">(37.76*(PI()/180*SIN(RADIANS($H$11))*SIN(RADIANS(AI87))*AJ87+COS(RADIANS($H$11))*COS(RADIANS(AI87))*SIN(RADIANS(AJ87))))*23.8891</f>
        <v>991.5809403704886</v>
      </c>
      <c r="AM87" s="239"/>
      <c r="AN87" s="239"/>
    </row>
    <row r="88" spans="1:40" ht="12.75">
      <c r="A88" s="239"/>
      <c r="B88" s="633">
        <v>1</v>
      </c>
      <c r="C88" s="109">
        <v>0</v>
      </c>
      <c r="D88" s="233">
        <f t="shared" si="40"/>
        <v>2</v>
      </c>
      <c r="E88" s="157">
        <v>1</v>
      </c>
      <c r="F88" s="109">
        <v>0</v>
      </c>
      <c r="G88" s="109">
        <v>7</v>
      </c>
      <c r="H88" s="73">
        <f t="shared" si="31"/>
        <v>13.360406002082119</v>
      </c>
      <c r="I88" s="73"/>
      <c r="J88" s="73" t="str">
        <f t="shared" si="32"/>
        <v>.</v>
      </c>
      <c r="K88" s="73" t="str">
        <f t="shared" si="33"/>
        <v>.</v>
      </c>
      <c r="L88" s="73" t="str">
        <f t="shared" si="41"/>
        <v>.</v>
      </c>
      <c r="M88" s="73" t="str">
        <f t="shared" si="42"/>
        <v>.</v>
      </c>
      <c r="N88" s="73">
        <f t="shared" si="34"/>
        <v>507.6577970054753</v>
      </c>
      <c r="O88" s="73" t="str">
        <f t="shared" si="35"/>
        <v>.</v>
      </c>
      <c r="P88" s="73" t="str">
        <f t="shared" si="36"/>
        <v>.</v>
      </c>
      <c r="Q88" s="73" t="str">
        <f t="shared" si="37"/>
        <v>.</v>
      </c>
      <c r="R88" s="634" t="str">
        <f t="shared" si="38"/>
        <v>.</v>
      </c>
      <c r="T88" s="239"/>
      <c r="W88" s="222">
        <f t="shared" si="43"/>
        <v>991.5809403704886</v>
      </c>
      <c r="X88" s="1">
        <f t="shared" si="44"/>
        <v>0.335</v>
      </c>
      <c r="Y88" s="1">
        <f t="shared" si="45"/>
        <v>-0.33</v>
      </c>
      <c r="Z88" s="1">
        <f t="shared" si="46"/>
        <v>-0.005009249999999999</v>
      </c>
      <c r="AA88" s="1">
        <f t="shared" si="47"/>
        <v>-1.0083149999999999</v>
      </c>
      <c r="AB88" s="1">
        <f t="shared" si="48"/>
        <v>-3.73475</v>
      </c>
      <c r="AC88" s="1">
        <f t="shared" si="49"/>
        <v>-8.4695</v>
      </c>
      <c r="AI88" s="234">
        <f t="shared" si="39"/>
        <v>-22.93054360830765</v>
      </c>
      <c r="AJ88" s="235">
        <f t="shared" si="50"/>
        <v>100.20304501561588</v>
      </c>
      <c r="AK88" s="236">
        <f t="shared" si="51"/>
        <v>13.360406002082119</v>
      </c>
      <c r="AL88" s="548">
        <f t="shared" si="52"/>
        <v>991.5809403704886</v>
      </c>
      <c r="AM88" s="239"/>
      <c r="AN88" s="239"/>
    </row>
    <row r="89" spans="1:40" ht="12.75">
      <c r="A89" s="239"/>
      <c r="B89" s="633">
        <v>1</v>
      </c>
      <c r="C89" s="109">
        <v>0</v>
      </c>
      <c r="D89" s="233">
        <f t="shared" si="40"/>
        <v>2</v>
      </c>
      <c r="E89" s="157">
        <v>1</v>
      </c>
      <c r="F89" s="109">
        <v>0</v>
      </c>
      <c r="G89" s="109">
        <v>7</v>
      </c>
      <c r="H89" s="73">
        <f t="shared" si="31"/>
        <v>13.360406002082119</v>
      </c>
      <c r="I89" s="73"/>
      <c r="J89" s="73" t="str">
        <f t="shared" si="32"/>
        <v>.</v>
      </c>
      <c r="K89" s="73" t="str">
        <f t="shared" si="33"/>
        <v>.</v>
      </c>
      <c r="L89" s="73" t="str">
        <f t="shared" si="41"/>
        <v>.</v>
      </c>
      <c r="M89" s="73" t="str">
        <f t="shared" si="42"/>
        <v>.</v>
      </c>
      <c r="N89" s="73">
        <f t="shared" si="34"/>
        <v>507.6577970054753</v>
      </c>
      <c r="O89" s="73" t="str">
        <f t="shared" si="35"/>
        <v>.</v>
      </c>
      <c r="P89" s="73" t="str">
        <f t="shared" si="36"/>
        <v>.</v>
      </c>
      <c r="Q89" s="73" t="str">
        <f t="shared" si="37"/>
        <v>.</v>
      </c>
      <c r="R89" s="634" t="str">
        <f t="shared" si="38"/>
        <v>.</v>
      </c>
      <c r="T89" s="239"/>
      <c r="W89" s="222">
        <f t="shared" si="43"/>
        <v>991.5809403704886</v>
      </c>
      <c r="X89" s="1">
        <f t="shared" si="44"/>
        <v>0.335</v>
      </c>
      <c r="Y89" s="1">
        <f t="shared" si="45"/>
        <v>-0.33</v>
      </c>
      <c r="Z89" s="1">
        <f t="shared" si="46"/>
        <v>-0.005009249999999999</v>
      </c>
      <c r="AA89" s="1">
        <f t="shared" si="47"/>
        <v>-1.0083149999999999</v>
      </c>
      <c r="AB89" s="1">
        <f t="shared" si="48"/>
        <v>-3.73475</v>
      </c>
      <c r="AC89" s="1">
        <f t="shared" si="49"/>
        <v>-8.4695</v>
      </c>
      <c r="AI89" s="234">
        <f t="shared" si="39"/>
        <v>-22.93054360830765</v>
      </c>
      <c r="AJ89" s="235">
        <f t="shared" si="50"/>
        <v>100.20304501561588</v>
      </c>
      <c r="AK89" s="236">
        <f t="shared" si="51"/>
        <v>13.360406002082119</v>
      </c>
      <c r="AL89" s="548">
        <f t="shared" si="52"/>
        <v>991.5809403704886</v>
      </c>
      <c r="AM89" s="239"/>
      <c r="AN89" s="239"/>
    </row>
    <row r="90" spans="1:40" ht="12.75">
      <c r="A90" s="239"/>
      <c r="B90" s="633">
        <v>1</v>
      </c>
      <c r="C90" s="109">
        <v>0</v>
      </c>
      <c r="D90" s="233">
        <f t="shared" si="40"/>
        <v>2</v>
      </c>
      <c r="E90" s="157">
        <v>1</v>
      </c>
      <c r="F90" s="109">
        <v>0</v>
      </c>
      <c r="G90" s="109">
        <v>7</v>
      </c>
      <c r="H90" s="73">
        <f t="shared" si="31"/>
        <v>13.360406002082119</v>
      </c>
      <c r="I90" s="73"/>
      <c r="J90" s="73" t="str">
        <f t="shared" si="32"/>
        <v>.</v>
      </c>
      <c r="K90" s="73" t="str">
        <f t="shared" si="33"/>
        <v>.</v>
      </c>
      <c r="L90" s="73" t="str">
        <f t="shared" si="41"/>
        <v>.</v>
      </c>
      <c r="M90" s="73" t="str">
        <f t="shared" si="42"/>
        <v>.</v>
      </c>
      <c r="N90" s="73">
        <f t="shared" si="34"/>
        <v>507.6577970054753</v>
      </c>
      <c r="O90" s="73" t="str">
        <f t="shared" si="35"/>
        <v>.</v>
      </c>
      <c r="P90" s="73" t="str">
        <f t="shared" si="36"/>
        <v>.</v>
      </c>
      <c r="Q90" s="73" t="str">
        <f t="shared" si="37"/>
        <v>.</v>
      </c>
      <c r="R90" s="634" t="str">
        <f t="shared" si="38"/>
        <v>.</v>
      </c>
      <c r="T90" s="239"/>
      <c r="W90" s="222">
        <f t="shared" si="43"/>
        <v>991.5809403704886</v>
      </c>
      <c r="X90" s="1">
        <f t="shared" si="44"/>
        <v>0.335</v>
      </c>
      <c r="Y90" s="1">
        <f t="shared" si="45"/>
        <v>-0.33</v>
      </c>
      <c r="Z90" s="1">
        <f t="shared" si="46"/>
        <v>-0.005009249999999999</v>
      </c>
      <c r="AA90" s="1">
        <f t="shared" si="47"/>
        <v>-1.0083149999999999</v>
      </c>
      <c r="AB90" s="1">
        <f t="shared" si="48"/>
        <v>-3.73475</v>
      </c>
      <c r="AC90" s="1">
        <f t="shared" si="49"/>
        <v>-8.4695</v>
      </c>
      <c r="AI90" s="234">
        <f t="shared" si="39"/>
        <v>-22.93054360830765</v>
      </c>
      <c r="AJ90" s="235">
        <f t="shared" si="50"/>
        <v>100.20304501561588</v>
      </c>
      <c r="AK90" s="236">
        <f t="shared" si="51"/>
        <v>13.360406002082119</v>
      </c>
      <c r="AL90" s="548">
        <f t="shared" si="52"/>
        <v>991.5809403704886</v>
      </c>
      <c r="AM90" s="239"/>
      <c r="AN90" s="239"/>
    </row>
    <row r="91" spans="1:40" ht="12.75">
      <c r="A91" s="239"/>
      <c r="B91" s="633">
        <v>1</v>
      </c>
      <c r="C91" s="109">
        <v>0</v>
      </c>
      <c r="D91" s="233">
        <f t="shared" si="40"/>
        <v>2</v>
      </c>
      <c r="E91" s="157">
        <v>1</v>
      </c>
      <c r="F91" s="109">
        <v>0</v>
      </c>
      <c r="G91" s="109">
        <v>7</v>
      </c>
      <c r="H91" s="73">
        <f t="shared" si="31"/>
        <v>13.360406002082119</v>
      </c>
      <c r="I91" s="73"/>
      <c r="J91" s="73" t="str">
        <f t="shared" si="32"/>
        <v>.</v>
      </c>
      <c r="K91" s="73" t="str">
        <f t="shared" si="33"/>
        <v>.</v>
      </c>
      <c r="L91" s="73" t="str">
        <f t="shared" si="41"/>
        <v>.</v>
      </c>
      <c r="M91" s="73" t="str">
        <f t="shared" si="42"/>
        <v>.</v>
      </c>
      <c r="N91" s="73">
        <f t="shared" si="34"/>
        <v>507.6577970054753</v>
      </c>
      <c r="O91" s="73" t="str">
        <f t="shared" si="35"/>
        <v>.</v>
      </c>
      <c r="P91" s="73" t="str">
        <f t="shared" si="36"/>
        <v>.</v>
      </c>
      <c r="Q91" s="73" t="str">
        <f t="shared" si="37"/>
        <v>.</v>
      </c>
      <c r="R91" s="634" t="str">
        <f t="shared" si="38"/>
        <v>.</v>
      </c>
      <c r="T91" s="239"/>
      <c r="W91" s="222">
        <f t="shared" si="43"/>
        <v>991.5809403704886</v>
      </c>
      <c r="X91" s="1">
        <f t="shared" si="44"/>
        <v>0.335</v>
      </c>
      <c r="Y91" s="1">
        <f t="shared" si="45"/>
        <v>-0.33</v>
      </c>
      <c r="Z91" s="1">
        <f t="shared" si="46"/>
        <v>-0.005009249999999999</v>
      </c>
      <c r="AA91" s="1">
        <f t="shared" si="47"/>
        <v>-1.0083149999999999</v>
      </c>
      <c r="AB91" s="1">
        <f t="shared" si="48"/>
        <v>-3.73475</v>
      </c>
      <c r="AC91" s="1">
        <f t="shared" si="49"/>
        <v>-8.4695</v>
      </c>
      <c r="AI91" s="234">
        <f t="shared" si="39"/>
        <v>-22.93054360830765</v>
      </c>
      <c r="AJ91" s="235">
        <f t="shared" si="50"/>
        <v>100.20304501561588</v>
      </c>
      <c r="AK91" s="236">
        <f t="shared" si="51"/>
        <v>13.360406002082119</v>
      </c>
      <c r="AL91" s="548">
        <f t="shared" si="52"/>
        <v>991.5809403704886</v>
      </c>
      <c r="AM91" s="239"/>
      <c r="AN91" s="239"/>
    </row>
    <row r="92" spans="1:40" ht="12.75">
      <c r="A92" s="239"/>
      <c r="B92" s="633">
        <v>1</v>
      </c>
      <c r="C92" s="109">
        <v>0</v>
      </c>
      <c r="D92" s="233">
        <f t="shared" si="40"/>
        <v>2</v>
      </c>
      <c r="E92" s="157">
        <v>1</v>
      </c>
      <c r="F92" s="109">
        <v>0</v>
      </c>
      <c r="G92" s="109">
        <v>7</v>
      </c>
      <c r="H92" s="73">
        <f t="shared" si="31"/>
        <v>13.360406002082119</v>
      </c>
      <c r="I92" s="73"/>
      <c r="J92" s="73" t="str">
        <f t="shared" si="32"/>
        <v>.</v>
      </c>
      <c r="K92" s="73" t="str">
        <f t="shared" si="33"/>
        <v>.</v>
      </c>
      <c r="L92" s="73" t="str">
        <f t="shared" si="41"/>
        <v>.</v>
      </c>
      <c r="M92" s="73" t="str">
        <f t="shared" si="42"/>
        <v>.</v>
      </c>
      <c r="N92" s="73">
        <f t="shared" si="34"/>
        <v>507.6577970054753</v>
      </c>
      <c r="O92" s="73" t="str">
        <f t="shared" si="35"/>
        <v>.</v>
      </c>
      <c r="P92" s="73" t="str">
        <f t="shared" si="36"/>
        <v>.</v>
      </c>
      <c r="Q92" s="73" t="str">
        <f t="shared" si="37"/>
        <v>.</v>
      </c>
      <c r="R92" s="634" t="str">
        <f t="shared" si="38"/>
        <v>.</v>
      </c>
      <c r="T92" s="239"/>
      <c r="W92" s="222">
        <f t="shared" si="43"/>
        <v>991.5809403704886</v>
      </c>
      <c r="X92" s="1">
        <f t="shared" si="44"/>
        <v>0.335</v>
      </c>
      <c r="Y92" s="1">
        <f t="shared" si="45"/>
        <v>-0.33</v>
      </c>
      <c r="Z92" s="1">
        <f t="shared" si="46"/>
        <v>-0.005009249999999999</v>
      </c>
      <c r="AA92" s="1">
        <f t="shared" si="47"/>
        <v>-1.0083149999999999</v>
      </c>
      <c r="AB92" s="1">
        <f t="shared" si="48"/>
        <v>-3.73475</v>
      </c>
      <c r="AC92" s="1">
        <f t="shared" si="49"/>
        <v>-8.4695</v>
      </c>
      <c r="AI92" s="234">
        <f t="shared" si="39"/>
        <v>-22.93054360830765</v>
      </c>
      <c r="AJ92" s="235">
        <f t="shared" si="50"/>
        <v>100.20304501561588</v>
      </c>
      <c r="AK92" s="236">
        <f t="shared" si="51"/>
        <v>13.360406002082119</v>
      </c>
      <c r="AL92" s="548">
        <f t="shared" si="52"/>
        <v>991.5809403704886</v>
      </c>
      <c r="AM92" s="239"/>
      <c r="AN92" s="239"/>
    </row>
    <row r="93" spans="1:40" ht="12.75">
      <c r="A93" s="239"/>
      <c r="B93" s="633">
        <v>1</v>
      </c>
      <c r="C93" s="109">
        <v>0</v>
      </c>
      <c r="D93" s="233">
        <f t="shared" si="40"/>
        <v>2</v>
      </c>
      <c r="E93" s="157">
        <v>1</v>
      </c>
      <c r="F93" s="109">
        <v>0</v>
      </c>
      <c r="G93" s="109">
        <v>7</v>
      </c>
      <c r="H93" s="73">
        <f t="shared" si="31"/>
        <v>13.360406002082119</v>
      </c>
      <c r="I93" s="73"/>
      <c r="J93" s="73" t="str">
        <f t="shared" si="32"/>
        <v>.</v>
      </c>
      <c r="K93" s="73" t="str">
        <f t="shared" si="33"/>
        <v>.</v>
      </c>
      <c r="L93" s="73" t="str">
        <f t="shared" si="41"/>
        <v>.</v>
      </c>
      <c r="M93" s="73" t="str">
        <f t="shared" si="42"/>
        <v>.</v>
      </c>
      <c r="N93" s="73">
        <f t="shared" si="34"/>
        <v>507.6577970054753</v>
      </c>
      <c r="O93" s="73" t="str">
        <f t="shared" si="35"/>
        <v>.</v>
      </c>
      <c r="P93" s="73" t="str">
        <f t="shared" si="36"/>
        <v>.</v>
      </c>
      <c r="Q93" s="73" t="str">
        <f t="shared" si="37"/>
        <v>.</v>
      </c>
      <c r="R93" s="634" t="str">
        <f t="shared" si="38"/>
        <v>.</v>
      </c>
      <c r="T93" s="239"/>
      <c r="W93" s="222">
        <f t="shared" si="43"/>
        <v>991.5809403704886</v>
      </c>
      <c r="X93" s="1">
        <f t="shared" si="44"/>
        <v>0.335</v>
      </c>
      <c r="Y93" s="1">
        <f t="shared" si="45"/>
        <v>-0.33</v>
      </c>
      <c r="Z93" s="1">
        <f t="shared" si="46"/>
        <v>-0.005009249999999999</v>
      </c>
      <c r="AA93" s="1">
        <f t="shared" si="47"/>
        <v>-1.0083149999999999</v>
      </c>
      <c r="AB93" s="1">
        <f t="shared" si="48"/>
        <v>-3.73475</v>
      </c>
      <c r="AC93" s="1">
        <f t="shared" si="49"/>
        <v>-8.4695</v>
      </c>
      <c r="AI93" s="234">
        <f t="shared" si="39"/>
        <v>-22.93054360830765</v>
      </c>
      <c r="AJ93" s="235">
        <f t="shared" si="50"/>
        <v>100.20304501561588</v>
      </c>
      <c r="AK93" s="236">
        <f t="shared" si="51"/>
        <v>13.360406002082119</v>
      </c>
      <c r="AL93" s="548">
        <f t="shared" si="52"/>
        <v>991.5809403704886</v>
      </c>
      <c r="AM93" s="239"/>
      <c r="AN93" s="239"/>
    </row>
    <row r="94" spans="1:40" ht="13.5" thickBot="1">
      <c r="A94" s="239"/>
      <c r="B94" s="635">
        <v>1</v>
      </c>
      <c r="C94" s="636">
        <v>0</v>
      </c>
      <c r="D94" s="637">
        <f t="shared" si="40"/>
        <v>2</v>
      </c>
      <c r="E94" s="638">
        <v>1</v>
      </c>
      <c r="F94" s="636">
        <v>0</v>
      </c>
      <c r="G94" s="636">
        <v>7</v>
      </c>
      <c r="H94" s="639">
        <f t="shared" si="31"/>
        <v>13.360406002082119</v>
      </c>
      <c r="I94" s="639"/>
      <c r="J94" s="639" t="str">
        <f t="shared" si="32"/>
        <v>.</v>
      </c>
      <c r="K94" s="639" t="str">
        <f t="shared" si="33"/>
        <v>.</v>
      </c>
      <c r="L94" s="639" t="str">
        <f t="shared" si="41"/>
        <v>.</v>
      </c>
      <c r="M94" s="639" t="str">
        <f t="shared" si="42"/>
        <v>.</v>
      </c>
      <c r="N94" s="639">
        <f t="shared" si="34"/>
        <v>507.6577970054753</v>
      </c>
      <c r="O94" s="639" t="str">
        <f t="shared" si="35"/>
        <v>.</v>
      </c>
      <c r="P94" s="639" t="str">
        <f t="shared" si="36"/>
        <v>.</v>
      </c>
      <c r="Q94" s="639" t="str">
        <f t="shared" si="37"/>
        <v>.</v>
      </c>
      <c r="R94" s="640" t="str">
        <f t="shared" si="38"/>
        <v>.</v>
      </c>
      <c r="T94" s="239"/>
      <c r="W94" s="222">
        <f t="shared" si="43"/>
        <v>991.5809403704886</v>
      </c>
      <c r="X94" s="1">
        <f t="shared" si="44"/>
        <v>0.335</v>
      </c>
      <c r="Y94" s="1">
        <f t="shared" si="45"/>
        <v>-0.33</v>
      </c>
      <c r="Z94" s="1">
        <f t="shared" si="46"/>
        <v>-0.005009249999999999</v>
      </c>
      <c r="AA94" s="1">
        <f t="shared" si="47"/>
        <v>-1.0083149999999999</v>
      </c>
      <c r="AB94" s="1">
        <f t="shared" si="48"/>
        <v>-3.73475</v>
      </c>
      <c r="AC94" s="1">
        <f t="shared" si="49"/>
        <v>-8.4695</v>
      </c>
      <c r="AI94" s="237">
        <f t="shared" si="39"/>
        <v>-22.93054360830765</v>
      </c>
      <c r="AJ94" s="235">
        <f t="shared" si="50"/>
        <v>100.20304501561588</v>
      </c>
      <c r="AK94" s="238">
        <f t="shared" si="51"/>
        <v>13.360406002082119</v>
      </c>
      <c r="AL94" s="549">
        <f t="shared" si="52"/>
        <v>991.5809403704886</v>
      </c>
      <c r="AM94" s="239"/>
      <c r="AN94" s="239"/>
    </row>
    <row r="95" spans="1:40" ht="12.75">
      <c r="A95" s="239"/>
      <c r="B95" s="212"/>
      <c r="C95" s="73"/>
      <c r="D95" s="71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86"/>
      <c r="AK95" s="239"/>
      <c r="AL95" s="239"/>
      <c r="AM95" s="239"/>
      <c r="AN95" s="239"/>
    </row>
    <row r="96" spans="1:40" ht="12.75">
      <c r="A96" s="239"/>
      <c r="B96" s="240"/>
      <c r="C96" s="194"/>
      <c r="D96" s="334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ht="12.75">
      <c r="A97" s="239"/>
      <c r="B97" s="240"/>
      <c r="C97" s="194"/>
      <c r="D97" s="334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ht="12.75">
      <c r="A98" s="239"/>
      <c r="B98" s="240"/>
      <c r="C98" s="194"/>
      <c r="D98" s="334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ht="12.75">
      <c r="A99" s="239"/>
      <c r="B99" s="240"/>
      <c r="C99" s="194"/>
      <c r="D99" s="334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</sheetData>
  <sheetProtection password="D5F2" sheet="1" objects="1" scenarios="1"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9.140625" style="0" customWidth="1"/>
    <col min="2" max="2" width="10.140625" style="0" customWidth="1"/>
  </cols>
  <sheetData>
    <row r="1" spans="1:16" ht="12.7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8">
      <c r="A2" s="538"/>
      <c r="B2" s="533" t="s">
        <v>215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ht="12.7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8">
      <c r="A4" s="257"/>
      <c r="B4" s="532" t="s">
        <v>216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12.7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</row>
    <row r="6" spans="1:16" ht="18">
      <c r="A6" s="257"/>
      <c r="B6" s="532" t="s">
        <v>217</v>
      </c>
      <c r="C6" s="257"/>
      <c r="D6" s="535" t="s">
        <v>218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</row>
    <row r="7" spans="1:16" ht="12.7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</row>
    <row r="8" spans="1:16" ht="18">
      <c r="A8" s="257"/>
      <c r="B8" s="257"/>
      <c r="C8" s="257"/>
      <c r="D8" s="531" t="s">
        <v>219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</row>
    <row r="9" spans="1:16" ht="12.7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</row>
    <row r="10" spans="1:16" ht="15">
      <c r="A10" s="257"/>
      <c r="B10" s="257"/>
      <c r="C10" s="257"/>
      <c r="D10" s="534" t="s">
        <v>220</v>
      </c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</row>
    <row r="11" spans="1:16" ht="12.75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</row>
    <row r="12" spans="1:16" ht="18">
      <c r="A12" s="257"/>
      <c r="B12" s="257"/>
      <c r="C12" s="257"/>
      <c r="D12" s="531" t="s">
        <v>221</v>
      </c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</row>
    <row r="13" spans="1:16" ht="12.7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</row>
    <row r="14" spans="1:16" ht="18">
      <c r="A14" s="257"/>
      <c r="B14" s="257"/>
      <c r="C14" s="257"/>
      <c r="D14" s="535" t="s">
        <v>222</v>
      </c>
      <c r="E14" s="531"/>
      <c r="F14" s="531" t="s">
        <v>223</v>
      </c>
      <c r="G14" s="257"/>
      <c r="H14" s="257"/>
      <c r="I14" s="257"/>
      <c r="J14" s="257"/>
      <c r="K14" s="257"/>
      <c r="L14" s="257"/>
      <c r="M14" s="257"/>
      <c r="N14" s="257"/>
      <c r="O14" s="257"/>
      <c r="P14" s="257"/>
    </row>
    <row r="15" spans="1:16" ht="18">
      <c r="A15" s="257"/>
      <c r="B15" s="257"/>
      <c r="C15" s="257"/>
      <c r="D15" s="531"/>
      <c r="F15" s="531" t="s">
        <v>224</v>
      </c>
      <c r="G15" s="257"/>
      <c r="H15" s="257"/>
      <c r="I15" s="257"/>
      <c r="J15" s="257"/>
      <c r="K15" s="257"/>
      <c r="L15" s="257"/>
      <c r="M15" s="257"/>
      <c r="N15" s="257"/>
      <c r="O15" s="257"/>
      <c r="P15" s="257"/>
    </row>
    <row r="16" spans="1:16" ht="12.75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</row>
    <row r="17" spans="1:16" ht="18">
      <c r="A17" s="257"/>
      <c r="B17" s="257"/>
      <c r="C17" s="257"/>
      <c r="D17" s="257"/>
      <c r="E17" s="257"/>
      <c r="F17" s="531" t="s">
        <v>225</v>
      </c>
      <c r="G17" s="257"/>
      <c r="H17" s="257"/>
      <c r="I17" s="257"/>
      <c r="J17" s="257"/>
      <c r="K17" s="257"/>
      <c r="L17" s="257"/>
      <c r="M17" s="257"/>
      <c r="N17" s="257"/>
      <c r="O17" s="257"/>
      <c r="P17" s="257"/>
    </row>
    <row r="18" spans="1:16" ht="18">
      <c r="A18" s="257"/>
      <c r="B18" s="257"/>
      <c r="C18" s="257"/>
      <c r="D18" s="257"/>
      <c r="E18" s="257"/>
      <c r="F18" s="531" t="s">
        <v>226</v>
      </c>
      <c r="G18" s="257"/>
      <c r="H18" s="257"/>
      <c r="I18" s="257"/>
      <c r="J18" s="257"/>
      <c r="K18" s="257"/>
      <c r="L18" s="257"/>
      <c r="M18" s="257"/>
      <c r="N18" s="257"/>
      <c r="O18" s="257"/>
      <c r="P18" s="257"/>
    </row>
    <row r="19" spans="1:16" ht="18">
      <c r="A19" s="257"/>
      <c r="B19" s="257"/>
      <c r="C19" s="257"/>
      <c r="D19" s="257"/>
      <c r="E19" s="257"/>
      <c r="F19" s="531" t="s">
        <v>227</v>
      </c>
      <c r="G19" s="257"/>
      <c r="H19" s="257"/>
      <c r="I19" s="257"/>
      <c r="J19" s="257"/>
      <c r="K19" s="257"/>
      <c r="L19" s="257"/>
      <c r="M19" s="257"/>
      <c r="N19" s="257"/>
      <c r="O19" s="257"/>
      <c r="P19" s="257"/>
    </row>
    <row r="20" spans="1:16" ht="18">
      <c r="A20" s="257"/>
      <c r="B20" s="257"/>
      <c r="C20" s="257"/>
      <c r="D20" s="257"/>
      <c r="E20" s="257"/>
      <c r="F20" s="531"/>
      <c r="G20" s="257"/>
      <c r="H20" s="257"/>
      <c r="I20" s="257"/>
      <c r="J20" s="257"/>
      <c r="K20" s="257"/>
      <c r="L20" s="257"/>
      <c r="M20" s="257"/>
      <c r="N20" s="257"/>
      <c r="O20" s="257"/>
      <c r="P20" s="257"/>
    </row>
    <row r="21" spans="1:16" ht="18">
      <c r="A21" s="257"/>
      <c r="B21" s="532" t="s">
        <v>228</v>
      </c>
      <c r="C21" s="257"/>
      <c r="D21" s="257"/>
      <c r="E21" s="257"/>
      <c r="F21" s="531" t="s">
        <v>229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</row>
    <row r="22" spans="1:16" ht="18">
      <c r="A22" s="257"/>
      <c r="B22" s="257"/>
      <c r="C22" s="257"/>
      <c r="D22" s="257"/>
      <c r="E22" s="257"/>
      <c r="F22" s="531" t="s">
        <v>230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</row>
    <row r="23" spans="1:16" ht="12.75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</row>
    <row r="24" spans="1:16" ht="15">
      <c r="A24" s="534" t="s">
        <v>231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</row>
    <row r="25" spans="1:16" ht="18.75">
      <c r="A25" s="537" t="s">
        <v>232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</row>
    <row r="26" spans="1:16" ht="12.75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</row>
    <row r="27" spans="1:16" ht="14.25">
      <c r="A27" s="536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</row>
    <row r="28" spans="1:16" ht="12.7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</row>
    <row r="29" spans="1:16" ht="12.75">
      <c r="A29" s="257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</row>
    <row r="30" spans="1:16" ht="12.75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</row>
    <row r="31" spans="1:16" ht="12.7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</row>
    <row r="32" spans="1:16" ht="12.75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</row>
    <row r="33" spans="1:16" ht="12.7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</row>
  </sheetData>
  <sheetProtection password="D5F2" sheet="1" objects="1" scenarios="1"/>
  <printOptions/>
  <pageMargins left="0.787401575" right="0.787401575" top="0.984251969" bottom="0.984251969" header="0.492125985" footer="0.492125985"/>
  <pageSetup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DME-ESALQ-USP</dc:creator>
  <cp:keywords/>
  <dc:description/>
  <cp:lastModifiedBy>Windows 7</cp:lastModifiedBy>
  <dcterms:created xsi:type="dcterms:W3CDTF">1999-05-25T14:16:16Z</dcterms:created>
  <dcterms:modified xsi:type="dcterms:W3CDTF">2013-03-13T21:25:10Z</dcterms:modified>
  <cp:category/>
  <cp:version/>
  <cp:contentType/>
  <cp:contentStatus/>
</cp:coreProperties>
</file>